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80" windowHeight="7080" tabRatio="911" activeTab="2"/>
  </bookViews>
  <sheets>
    <sheet name="INSTRUCTIONS" sheetId="1" r:id="rId1"/>
    <sheet name="School Enrollment Projection" sheetId="2" r:id="rId2"/>
    <sheet name="6 YEAR TOTAL" sheetId="3" r:id="rId3"/>
    <sheet name="YEAR 1" sheetId="4" r:id="rId4"/>
    <sheet name="Staffing Year 1" sheetId="5" r:id="rId5"/>
    <sheet name="YEAR 2" sheetId="6" r:id="rId6"/>
    <sheet name="Staffing Year 2" sheetId="7" r:id="rId7"/>
    <sheet name="YEAR 3" sheetId="8" r:id="rId8"/>
    <sheet name="Staffing Year 3" sheetId="9" r:id="rId9"/>
    <sheet name="YEAR 4" sheetId="10" r:id="rId10"/>
    <sheet name="Staffing Year 4" sheetId="11" r:id="rId11"/>
    <sheet name="YEAR 5" sheetId="12" r:id="rId12"/>
    <sheet name="Staffing Year 5" sheetId="13" r:id="rId13"/>
    <sheet name="TBLA Expense" sheetId="14" r:id="rId14"/>
    <sheet name="Combined " sheetId="15" r:id="rId15"/>
    <sheet name="YEAR 0 - Budget and Cash Flow" sheetId="16" r:id="rId16"/>
    <sheet name="Staffing Year 0" sheetId="17" r:id="rId17"/>
  </sheets>
  <definedNames>
    <definedName name="_xlnm.Print_Area" localSheetId="15">'YEAR 0 - Budget and Cash Flow'!$A$1:$R$125</definedName>
    <definedName name="_xlnm.Print_Area" localSheetId="3">'YEAR 1'!$A$1:$D$143</definedName>
    <definedName name="_xlnm.Print_Area" localSheetId="5">'YEAR 2'!$A$1:$D$143</definedName>
    <definedName name="_xlnm.Print_Area" localSheetId="7">'YEAR 3'!$A$1:$D$143</definedName>
    <definedName name="_xlnm.Print_Area" localSheetId="9">'YEAR 4'!$A$1:$D$144</definedName>
    <definedName name="_xlnm.Print_Area" localSheetId="11">'YEAR 5'!$A$1:$D$147</definedName>
    <definedName name="_xlnm.Print_Titles" localSheetId="15">'YEAR 0 - Budget and Cash Flow'!$4:$4</definedName>
  </definedNames>
  <calcPr fullCalcOnLoad="1"/>
</workbook>
</file>

<file path=xl/sharedStrings.xml><?xml version="1.0" encoding="utf-8"?>
<sst xmlns="http://schemas.openxmlformats.org/spreadsheetml/2006/main" count="1376" uniqueCount="296">
  <si>
    <t>REVENUE</t>
  </si>
  <si>
    <t>Amount</t>
  </si>
  <si>
    <t>Title I</t>
  </si>
  <si>
    <t>Title II</t>
  </si>
  <si>
    <t>Total Revenue</t>
  </si>
  <si>
    <t xml:space="preserve"> </t>
  </si>
  <si>
    <t>Textbooks</t>
  </si>
  <si>
    <t>Library, periodicals, etc</t>
  </si>
  <si>
    <t>Technology</t>
  </si>
  <si>
    <t>Assessment materials</t>
  </si>
  <si>
    <t>Computers</t>
  </si>
  <si>
    <t>Software</t>
  </si>
  <si>
    <t>Field trips, other unclassified items</t>
  </si>
  <si>
    <t>Charter Board Supplies &amp; Equipment</t>
  </si>
  <si>
    <t>Charter Board Dues, fees, etc</t>
  </si>
  <si>
    <t>Legal Services</t>
  </si>
  <si>
    <t>Payroll Services</t>
  </si>
  <si>
    <t>Accounting Services</t>
  </si>
  <si>
    <t>Printing/Newsletter/Annual Report Services</t>
  </si>
  <si>
    <t>Administrative Computers</t>
  </si>
  <si>
    <t>Administrative Software</t>
  </si>
  <si>
    <t>Administration Dues, fees, misc expenses</t>
  </si>
  <si>
    <t>Office supplies</t>
  </si>
  <si>
    <t>Internet Services</t>
  </si>
  <si>
    <t>Telephone/Telecommunication Services</t>
  </si>
  <si>
    <t>Custodial</t>
  </si>
  <si>
    <t>Consultants</t>
  </si>
  <si>
    <t>Food service</t>
  </si>
  <si>
    <t>Transportation</t>
  </si>
  <si>
    <t>Waste disposal</t>
  </si>
  <si>
    <t>Travel</t>
  </si>
  <si>
    <t>Postage</t>
  </si>
  <si>
    <t>Facilities</t>
  </si>
  <si>
    <t>Rent, mortgage, or other facility cost</t>
  </si>
  <si>
    <t>Gas/electric</t>
  </si>
  <si>
    <t>Grounds Keeping</t>
  </si>
  <si>
    <t>Maintenance Services</t>
  </si>
  <si>
    <t>Total Facilities</t>
  </si>
  <si>
    <t>Total Other</t>
  </si>
  <si>
    <t>Total Expenditures</t>
  </si>
  <si>
    <t>TOTAL</t>
  </si>
  <si>
    <t>Other Revenue Federal sources (please describe)</t>
  </si>
  <si>
    <t>Federal Revenue</t>
  </si>
  <si>
    <t>Other Revenues</t>
  </si>
  <si>
    <t>Other classroom supplies</t>
  </si>
  <si>
    <t xml:space="preserve">Support Supplies and Resources </t>
  </si>
  <si>
    <t>Professional Purchased or Contracted Services</t>
  </si>
  <si>
    <t>Other (please describe)</t>
  </si>
  <si>
    <t>Student Information Services</t>
  </si>
  <si>
    <t>Year 1</t>
  </si>
  <si>
    <t>Year 2</t>
  </si>
  <si>
    <t>Year 3</t>
  </si>
  <si>
    <t>Year 4</t>
  </si>
  <si>
    <t>Year 5</t>
  </si>
  <si>
    <t>Board Expenses</t>
  </si>
  <si>
    <t>Charter Board Services, including Board Training, retreats</t>
  </si>
  <si>
    <t>EXPENDITURES</t>
  </si>
  <si>
    <t>Benefits Assumptions - Please describe how you calculated your benefits and what is included below</t>
  </si>
  <si>
    <t>K</t>
  </si>
  <si>
    <t>ACADEMIC YEAR</t>
  </si>
  <si>
    <t>% ELL</t>
  </si>
  <si>
    <t>% SPED</t>
  </si>
  <si>
    <t>Planned Number of Students</t>
  </si>
  <si>
    <t>Planned Number of Classes</t>
  </si>
  <si>
    <t>SCHOOL ENROLLMENT PROJECTIONS</t>
  </si>
  <si>
    <t>Year 0</t>
  </si>
  <si>
    <t>Co-curricular &amp; Athletics</t>
  </si>
  <si>
    <t>Benefits and Payroll Taxes</t>
  </si>
  <si>
    <t>Position Description</t>
  </si>
  <si>
    <t>Total Salary</t>
  </si>
  <si>
    <t>TOTAL Salary and Benefits</t>
  </si>
  <si>
    <t>Number of Staff Per Position</t>
  </si>
  <si>
    <t>Average Salary for the Position</t>
  </si>
  <si>
    <t>Wages, Benefits and Payroll Taxes</t>
  </si>
  <si>
    <t>Professional Development</t>
  </si>
  <si>
    <t>Bonuses</t>
  </si>
  <si>
    <t>Total Personnel Expenses</t>
  </si>
  <si>
    <t>Personnel Expenses</t>
  </si>
  <si>
    <t>Instructional Supplies and Resources</t>
  </si>
  <si>
    <t>Total Instructional Supplies and Resources</t>
  </si>
  <si>
    <t>Total Support Supplies and Resources</t>
  </si>
  <si>
    <t>Total Board Expenses</t>
  </si>
  <si>
    <t>Total Professional Purchased or Contracted Services</t>
  </si>
  <si>
    <t>Other</t>
  </si>
  <si>
    <t>CMO/EMO Fee</t>
  </si>
  <si>
    <t>Contingency</t>
  </si>
  <si>
    <t>School Name: _________________________________</t>
  </si>
  <si>
    <t>Carryover/Deficit</t>
  </si>
  <si>
    <t>Cumulative Carryover/(Deficit)</t>
  </si>
  <si>
    <t>Notes</t>
  </si>
  <si>
    <t>State Revenue</t>
  </si>
  <si>
    <t>Federal Lunch Program</t>
  </si>
  <si>
    <t>Federal Breakfast Reimbursement</t>
  </si>
  <si>
    <t>Basic Grant</t>
  </si>
  <si>
    <t>State Matching Funds for School Lunch Program</t>
  </si>
  <si>
    <t>Remediation Program</t>
  </si>
  <si>
    <t>Gifted and Talented Program</t>
  </si>
  <si>
    <t>Textbook Reimbursement</t>
  </si>
  <si>
    <t>Summer School</t>
  </si>
  <si>
    <t>Committed Philanthropic Donations</t>
  </si>
  <si>
    <t>Before and After Care Fees</t>
  </si>
  <si>
    <t>Interest Income</t>
  </si>
  <si>
    <t>Special Education Services</t>
  </si>
  <si>
    <t>Water/Sewer</t>
  </si>
  <si>
    <t>Other State Revenue (please describe)</t>
  </si>
  <si>
    <t>Water/ Sewer</t>
  </si>
  <si>
    <t>Expected Charter School Staffing Needs -- Year 1</t>
  </si>
  <si>
    <t>Expected Charter School Staffing Needs -- Year 2</t>
  </si>
  <si>
    <t>Expected Charter School Staffing Needs -- Year 3</t>
  </si>
  <si>
    <t>Expected Charter School Staffing Needs -- Year 4</t>
  </si>
  <si>
    <t>Expected Charter School Staffing Needs -- Year 5</t>
  </si>
  <si>
    <t>Indiana Charter School Board Administrative Fee</t>
  </si>
  <si>
    <t>Public Charter School Program (PCSP) Grant</t>
  </si>
  <si>
    <t>Total Insurance Costs (per ICSB requirements detailed in charter school application)</t>
  </si>
  <si>
    <t>Indiana Charter School Board Administrative Fee (0% in Year 0)</t>
  </si>
  <si>
    <t>Expected New School Annual Operating Budget  -- YEAR 1 -- Fiscal Year July 1-June 30</t>
  </si>
  <si>
    <t>Expected New School Annual Operating Budget  -- YEAR 2 -- Fiscal Year July 1-June 30</t>
  </si>
  <si>
    <t>Expected New School Annual Operating Budget  -- YEAR 3 -- Fiscal Year July 1-June 30</t>
  </si>
  <si>
    <t>Expected New School Annual Operating Budget  -- YEAR 4 -- Fiscal Year July 1-June 30</t>
  </si>
  <si>
    <t>Expected New School Annual Operating Budget  -- YEAR 5 -- Fiscal Year July 1-June 30</t>
  </si>
  <si>
    <t>Expected New School Annual Operating Budget and Cash Flow Projections  -- YEAR 0 -- Pre-Opening Period</t>
  </si>
  <si>
    <t>CASH FLOW ADJUSTMENTS</t>
  </si>
  <si>
    <t>OPERATING ACTIVITIES</t>
  </si>
  <si>
    <t>Example - Add Back Depreciation</t>
  </si>
  <si>
    <t>Total Operating Activities</t>
  </si>
  <si>
    <t>INVESTMENT ACTIVITIES</t>
  </si>
  <si>
    <t>Total Investment Activities</t>
  </si>
  <si>
    <t>FINANCING ACTIVITIES</t>
  </si>
  <si>
    <t>Total Financing Activities</t>
  </si>
  <si>
    <t>Total Cash Flow Adjustments</t>
  </si>
  <si>
    <t>NET INCOME</t>
  </si>
  <si>
    <t>Beginning Cash Balance</t>
  </si>
  <si>
    <t>ENDING CASH BALANCE</t>
  </si>
  <si>
    <t>Example - Subtract Property and Equipment Expenditures</t>
  </si>
  <si>
    <t>Example - Add Expected Proceeds from a Loan or Line of Credit</t>
  </si>
  <si>
    <t>Wages, Benefits and Payroll Taxes (TOTAL must match "Staffing Year 0")</t>
  </si>
  <si>
    <t>Net Income (Pre-Cash Flow Adjustments)</t>
  </si>
  <si>
    <t>INDIANA CHARTER SCHOOL BOARD</t>
  </si>
  <si>
    <t xml:space="preserve"> - Complete ALL FIVE staffing tabs in GREEN</t>
  </si>
  <si>
    <t xml:space="preserve"> - Enter information into the WHITE cells</t>
  </si>
  <si>
    <t xml:space="preserve"> - Do not enter information into the GREY cells</t>
  </si>
  <si>
    <t>General Instructions for New School Applicants</t>
  </si>
  <si>
    <t>Expected Charter School Staffing Needs -- Year 0 -- Pre-Opening Period</t>
  </si>
  <si>
    <t xml:space="preserve"> - Complete ALL FIVE annual budget tabs in BLUE</t>
  </si>
  <si>
    <t xml:space="preserve"> - Complete the Year 0 - Budget and Cash Flow tab in PURPLE</t>
  </si>
  <si>
    <t xml:space="preserve"> - Complete the School Enrollment Projection tab in ORANGE</t>
  </si>
  <si>
    <t>Public Charter School Program (PCSP) Grant (NOTE: this is a competitive grant. Funding is not guaranteed.)</t>
  </si>
  <si>
    <t xml:space="preserve"> - NOTE: Applicants proposing to operate a network of schools should add a worksheet or attach a separate file reflecting the consolidated network's 5-Year pro-forma budget, reflecting all components - including the regional back office/central office - of the Indiana network.</t>
  </si>
  <si>
    <t>Audit Services (compliant with SBOA requirements)</t>
  </si>
  <si>
    <t>Technology Grants</t>
  </si>
  <si>
    <t>Public Law 101-476 (IDEA)</t>
  </si>
  <si>
    <t>Substitute Teachers</t>
  </si>
  <si>
    <t>Please fill in the expected positions along with salary and benefit estimates. Insert rows as needed. Be certain to include all Administrative Staff positions, in addition to Teachers and positions such as Paraprofessional, Teaching Assistant, Counselor, Therapist, Nurse, etc. as may be appropriate for your school model.</t>
  </si>
  <si>
    <t>Nursing Services</t>
  </si>
  <si>
    <t>Furniture &amp; Equipment</t>
  </si>
  <si>
    <t>Debt Service for Facilities (Interest Only)</t>
  </si>
  <si>
    <r>
      <t xml:space="preserve"> - We encourage applicants to contact the Indiana Department of Education Office of School Finance to learn more about Indiana's funding formula and all grant and operating funds available. Visit </t>
    </r>
    <r>
      <rPr>
        <b/>
        <sz val="12"/>
        <rFont val="Times New Roman"/>
        <family val="1"/>
      </rPr>
      <t>http://www.doe.in.gov/idoe/finance</t>
    </r>
    <r>
      <rPr>
        <sz val="12"/>
        <rFont val="Times New Roman"/>
        <family val="1"/>
      </rPr>
      <t xml:space="preserve"> for more information.</t>
    </r>
  </si>
  <si>
    <t>Year 1: 2016-2017</t>
  </si>
  <si>
    <t>Year 2: 2017-2018</t>
  </si>
  <si>
    <t>Year 3: 2018-2019</t>
  </si>
  <si>
    <t>Year 4: 2019-2020</t>
  </si>
  <si>
    <t>Year 5: 2020-2021</t>
  </si>
  <si>
    <t>TOTAL 2015</t>
  </si>
  <si>
    <t>TOTAL FIRST HALF 2016</t>
  </si>
  <si>
    <t>% SNAP, TANF or Foster Care</t>
  </si>
  <si>
    <t>Charter and Innovation Network School Grant Program</t>
  </si>
  <si>
    <t>Charter and Innovation Network School Advance Program</t>
  </si>
  <si>
    <t>Escrow account for dissillusionment / closure</t>
  </si>
  <si>
    <t>Escrow account for closure</t>
  </si>
  <si>
    <t>Charter and Innovation Network School Advance Program Interest Costs</t>
  </si>
  <si>
    <t>5-Year Pro Forma Budget Submission Template Spring 2016</t>
  </si>
  <si>
    <t>Thea Bowman Leadership Academy</t>
  </si>
  <si>
    <t>Enrollment</t>
  </si>
  <si>
    <t>Fiscal Year</t>
  </si>
  <si>
    <t>Revenue</t>
  </si>
  <si>
    <t>State - Basic Grant</t>
  </si>
  <si>
    <t xml:space="preserve">Federal - School Lunch </t>
  </si>
  <si>
    <t>Federal - SPED</t>
  </si>
  <si>
    <t>Federal - Title I</t>
  </si>
  <si>
    <t>Federal - Title II</t>
  </si>
  <si>
    <t>Student/Activity &amp; Misc Fees</t>
  </si>
  <si>
    <t>Textbook &amp; Connectivity Grants</t>
  </si>
  <si>
    <t>Total Revenues</t>
  </si>
  <si>
    <t>Regular Ed Instructors</t>
  </si>
  <si>
    <t>Teachers Assistants</t>
  </si>
  <si>
    <t>Special Ed Instructors</t>
  </si>
  <si>
    <t>Specials Instructors (Music, Art, Spanish, PE)</t>
  </si>
  <si>
    <t>Library</t>
  </si>
  <si>
    <t>Reading Intervention/Resource Teacher/HA Coord/Ac. Coach</t>
  </si>
  <si>
    <t>Additional Tas / Special Ed Para Professionals</t>
  </si>
  <si>
    <t>Principals</t>
  </si>
  <si>
    <t>Assistant Principals/Instructional Coaches</t>
  </si>
  <si>
    <t>Administrative/Clerical Staff</t>
  </si>
  <si>
    <t>Other student services staff (Social Worker/Counselor)</t>
  </si>
  <si>
    <t>Behavioral Coordinator/Non-Instructional Aide</t>
  </si>
  <si>
    <t>Nurse</t>
  </si>
  <si>
    <t>Dean of Students</t>
  </si>
  <si>
    <t>Total Wages</t>
  </si>
  <si>
    <t>Benefits</t>
  </si>
  <si>
    <t>Substitutes</t>
  </si>
  <si>
    <t>Total Personnel</t>
  </si>
  <si>
    <t>Office Equipment (copier/scanner/fax)</t>
  </si>
  <si>
    <t xml:space="preserve">Total Support Supplies and Resources </t>
  </si>
  <si>
    <t>Bonds - Redemption of Principal</t>
  </si>
  <si>
    <t>Bonds - Interest</t>
  </si>
  <si>
    <t>Temporary Loan - Redemption of Interest</t>
  </si>
  <si>
    <t>Total Bond &amp; Loan</t>
  </si>
  <si>
    <t>Audit Services</t>
  </si>
  <si>
    <t>Accounting System/Services</t>
  </si>
  <si>
    <t>Printing/Newsletter/Annual Reports</t>
  </si>
  <si>
    <t>Internet Services &amp; Support</t>
  </si>
  <si>
    <t>Total Insurance Costs</t>
  </si>
  <si>
    <t>Data Warehouse &amp; Student Information Systems</t>
  </si>
  <si>
    <t>Student Recruitment</t>
  </si>
  <si>
    <t>Staff Recruitment/Training</t>
  </si>
  <si>
    <t>Business Registration &amp; Filing Fees</t>
  </si>
  <si>
    <t>School/Community Events</t>
  </si>
  <si>
    <t>Marketing &amp; Website</t>
  </si>
  <si>
    <t>Banking</t>
  </si>
  <si>
    <t>Facility</t>
  </si>
  <si>
    <t>Furniture &amp; FF&amp;E</t>
  </si>
  <si>
    <t>Technology Wiring, etc  (assumes lease, as needed maint)</t>
  </si>
  <si>
    <t>Security</t>
  </si>
  <si>
    <t>CMO</t>
  </si>
  <si>
    <t>Total Fee &amp; Reserve</t>
  </si>
  <si>
    <t>Total Expenses</t>
  </si>
  <si>
    <t>Net Cash Surplus/(Deficit)</t>
  </si>
  <si>
    <t>Per Scholar</t>
  </si>
  <si>
    <t>Staffing</t>
  </si>
  <si>
    <t>Additional Teachers (account for uneven splits)/Title I Teachers</t>
  </si>
  <si>
    <t>Teaching Fellows/Interns</t>
  </si>
  <si>
    <t>Enrollment Coordinator</t>
  </si>
  <si>
    <t>Director of Operations</t>
  </si>
  <si>
    <t>Dean of Scholars</t>
  </si>
  <si>
    <t>Director of Special Education</t>
  </si>
  <si>
    <t>Total Staff</t>
  </si>
  <si>
    <t>Total Staffing by Year</t>
  </si>
  <si>
    <t>Salary</t>
  </si>
  <si>
    <t>Salary Growth</t>
  </si>
  <si>
    <t>Benefits and Payroll Taxes % of Wages:</t>
  </si>
  <si>
    <t>Redemption of Principal</t>
  </si>
  <si>
    <t>Interest</t>
  </si>
  <si>
    <t>Total Bond Expenses</t>
  </si>
  <si>
    <t>Legal/Staff Services</t>
  </si>
  <si>
    <t>Accounting System/Services - Service Area Assistants</t>
  </si>
  <si>
    <t>Consultants/Other Professional Services</t>
  </si>
  <si>
    <t>Special Education, Psychological, Speech &amp; Audiology Services</t>
  </si>
  <si>
    <t>Facility Improvements / Rent</t>
  </si>
  <si>
    <t>Technology Wiring/Rentals</t>
  </si>
  <si>
    <t>Reserve A</t>
  </si>
  <si>
    <t>Reserve B</t>
  </si>
  <si>
    <t xml:space="preserve">CMO/EMO Fee </t>
  </si>
  <si>
    <t>Expense Inflation Rate</t>
  </si>
  <si>
    <t>TBLA K-6 2017</t>
  </si>
  <si>
    <t>Y0</t>
  </si>
  <si>
    <t>Y1</t>
  </si>
  <si>
    <t>Y2</t>
  </si>
  <si>
    <t>Y3</t>
  </si>
  <si>
    <t>Y4</t>
  </si>
  <si>
    <t>Y5</t>
  </si>
  <si>
    <t>Years 2 forward</t>
  </si>
  <si>
    <t>Year 1 stays constant</t>
  </si>
  <si>
    <t>Consulting/Other Prof in 2016 spread to detail categories 2017 forward:</t>
  </si>
  <si>
    <t>Assessment</t>
  </si>
  <si>
    <t>Balance Remains in Prof</t>
  </si>
  <si>
    <t>MSHS TBLA FY17</t>
  </si>
  <si>
    <t>Year 1 stays Constant</t>
  </si>
  <si>
    <t>State Facility Grant</t>
  </si>
  <si>
    <t>Reserve</t>
  </si>
  <si>
    <t>Student Activity Fees/Misc</t>
  </si>
  <si>
    <t>Behav. Coord/Non-Instructional Aide</t>
  </si>
  <si>
    <t>Other - Student Recruitment</t>
  </si>
  <si>
    <t>Other - Staff Recruitment</t>
  </si>
  <si>
    <t>Other - School &amp; Community Outreach/Events</t>
  </si>
  <si>
    <t>Other - Business Reg/Banking/Marketing</t>
  </si>
  <si>
    <t>Other - Security</t>
  </si>
  <si>
    <t>Other - Bond - Redemption of Principal</t>
  </si>
  <si>
    <t>Other - Equipment leases</t>
  </si>
  <si>
    <t>see staffing worksheet</t>
  </si>
  <si>
    <t>assume 1% of basic grant</t>
  </si>
  <si>
    <t>Employer portion of payroll taxes at 9%, health, dental, vision at 9.5%, workman's compensation at 2% and retirement at 7.5%</t>
  </si>
  <si>
    <t>Other equipment</t>
  </si>
  <si>
    <t>assumes funding continues at 2016 levels</t>
  </si>
  <si>
    <t>Assumes Personnel Expenditures remain at 2016 levels</t>
  </si>
  <si>
    <t>Assumes all operating expenses remain at 2016 levels</t>
  </si>
  <si>
    <t>assumes 1% increase in Personnel expenses</t>
  </si>
  <si>
    <t>Assumes .5% decrease in interest rate</t>
  </si>
  <si>
    <t>Assumes 1% increase in variable expenses</t>
  </si>
  <si>
    <t>2015-16</t>
  </si>
  <si>
    <t>*School is already in operations; so we won't have a "pre-opening" period</t>
  </si>
  <si>
    <t>*School is already in operations; so we won't really have a "pre-opening" period</t>
  </si>
  <si>
    <t>2016-17</t>
  </si>
  <si>
    <t>2017-18</t>
  </si>
  <si>
    <t>2018-19</t>
  </si>
  <si>
    <t>2019-20</t>
  </si>
  <si>
    <t>2120-21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</si>
</sst>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_(* #,##0.0_);_(* \(#,##0.0\);_(* &quot;-&quot;??_);_(@_)"/>
    <numFmt numFmtId="169" formatCode="0.0"/>
    <numFmt numFmtId="170" formatCode="0.0000000"/>
    <numFmt numFmtId="171" formatCode="0.000000"/>
    <numFmt numFmtId="172" formatCode="0.00000"/>
    <numFmt numFmtId="173" formatCode="0.0000"/>
    <numFmt numFmtId="174" formatCode="0.000"/>
  </numFmts>
  <fonts count="75">
    <font>
      <sz val="11"/>
      <color theme="1"/>
      <name val="Calibri"/>
      <family val="2"/>
    </font>
    <font>
      <sz val="11"/>
      <color indexed="8"/>
      <name val="Calibri"/>
      <family val="2"/>
    </font>
    <font>
      <b/>
      <sz val="12"/>
      <name val="Times New Roman"/>
      <family val="1"/>
    </font>
    <font>
      <b/>
      <sz val="10"/>
      <name val="Times New Roman"/>
      <family val="1"/>
    </font>
    <font>
      <sz val="10"/>
      <name val="Times New Roman"/>
      <family val="1"/>
    </font>
    <font>
      <sz val="9"/>
      <name val="Times New Roman"/>
      <family val="1"/>
    </font>
    <font>
      <i/>
      <sz val="10"/>
      <name val="Times New Roman"/>
      <family val="1"/>
    </font>
    <font>
      <sz val="8"/>
      <name val="Tahoma"/>
      <family val="2"/>
    </font>
    <font>
      <b/>
      <sz val="8"/>
      <name val="Tahoma"/>
      <family val="2"/>
    </font>
    <font>
      <sz val="9"/>
      <color indexed="8"/>
      <name val="Times New Roman"/>
      <family val="1"/>
    </font>
    <font>
      <sz val="8"/>
      <name val="Times New Roman"/>
      <family val="1"/>
    </font>
    <font>
      <sz val="12"/>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Times New Roman"/>
      <family val="1"/>
    </font>
    <font>
      <b/>
      <sz val="14"/>
      <color indexed="8"/>
      <name val="Times New Roman"/>
      <family val="1"/>
    </font>
    <font>
      <sz val="10"/>
      <color indexed="49"/>
      <name val="Times New Roman"/>
      <family val="1"/>
    </font>
    <font>
      <b/>
      <sz val="10"/>
      <color indexed="49"/>
      <name val="Times New Roman"/>
      <family val="1"/>
    </font>
    <font>
      <b/>
      <sz val="10"/>
      <color indexed="19"/>
      <name val="Times New Roman"/>
      <family val="1"/>
    </font>
    <font>
      <sz val="10"/>
      <color indexed="8"/>
      <name val="Times New Roman"/>
      <family val="1"/>
    </font>
    <font>
      <i/>
      <sz val="10"/>
      <color indexed="8"/>
      <name val="Times New Roman"/>
      <family val="1"/>
    </font>
    <font>
      <b/>
      <i/>
      <sz val="10"/>
      <color indexed="49"/>
      <name val="Times New Roman"/>
      <family val="1"/>
    </font>
    <font>
      <b/>
      <sz val="10"/>
      <color indexed="8"/>
      <name val="Times New Roman"/>
      <family val="1"/>
    </font>
    <font>
      <sz val="10"/>
      <color indexed="19"/>
      <name val="Times New Roman"/>
      <family val="1"/>
    </font>
    <font>
      <b/>
      <sz val="12"/>
      <color indexed="8"/>
      <name val="Times New Roman"/>
      <family val="1"/>
    </font>
    <font>
      <sz val="12"/>
      <color indexed="8"/>
      <name val="Times New Roman"/>
      <family val="1"/>
    </font>
    <font>
      <b/>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4"/>
      <color theme="1"/>
      <name val="Times New Roman"/>
      <family val="1"/>
    </font>
    <font>
      <sz val="9"/>
      <color theme="1"/>
      <name val="Times New Roman"/>
      <family val="1"/>
    </font>
    <font>
      <sz val="10"/>
      <color theme="3" tint="0.39998000860214233"/>
      <name val="Times New Roman"/>
      <family val="1"/>
    </font>
    <font>
      <b/>
      <sz val="10"/>
      <color theme="3" tint="0.39998000860214233"/>
      <name val="Times New Roman"/>
      <family val="1"/>
    </font>
    <font>
      <b/>
      <sz val="10"/>
      <color theme="5"/>
      <name val="Times New Roman"/>
      <family val="1"/>
    </font>
    <font>
      <sz val="10"/>
      <color theme="1"/>
      <name val="Times New Roman"/>
      <family val="1"/>
    </font>
    <font>
      <i/>
      <sz val="10"/>
      <color theme="1"/>
      <name val="Times New Roman"/>
      <family val="1"/>
    </font>
    <font>
      <b/>
      <i/>
      <sz val="10"/>
      <color theme="3" tint="0.39998000860214233"/>
      <name val="Times New Roman"/>
      <family val="1"/>
    </font>
    <font>
      <b/>
      <sz val="10"/>
      <color theme="1"/>
      <name val="Times New Roman"/>
      <family val="1"/>
    </font>
    <font>
      <sz val="10"/>
      <color theme="5"/>
      <name val="Times New Roman"/>
      <family val="1"/>
    </font>
    <font>
      <b/>
      <sz val="12"/>
      <color theme="1"/>
      <name val="Times New Roman"/>
      <family val="1"/>
    </font>
    <font>
      <sz val="12"/>
      <color theme="1"/>
      <name val="Times New Roman"/>
      <family val="1"/>
    </font>
    <font>
      <b/>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indexed="65"/>
        <bgColor indexed="64"/>
      </patternFill>
    </fill>
    <fill>
      <patternFill patternType="solid">
        <fgColor rgb="FFFFFF6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thin"/>
      <right style="thin"/>
      <top style="thin"/>
      <bottom style="thin"/>
    </border>
    <border>
      <left style="medium"/>
      <right style="medium"/>
      <top style="medium"/>
      <bottom style="medium"/>
    </border>
    <border>
      <left style="thin"/>
      <right style="thin"/>
      <top>
        <color indexed="63"/>
      </top>
      <bottom style="thin"/>
    </border>
    <border>
      <left style="medium"/>
      <right style="thin"/>
      <top style="thin"/>
      <bottom style="thin"/>
    </border>
    <border>
      <left style="thin"/>
      <right style="thick"/>
      <top style="thin"/>
      <bottom style="thin"/>
    </border>
    <border>
      <left>
        <color indexed="63"/>
      </left>
      <right style="thin"/>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thin"/>
      <bottom style="thin"/>
    </border>
    <border>
      <left style="thin">
        <color rgb="FF7F7F7F"/>
      </left>
      <right>
        <color indexed="63"/>
      </right>
      <top>
        <color indexed="63"/>
      </top>
      <bottom>
        <color indexed="63"/>
      </bottom>
    </border>
    <border>
      <left>
        <color indexed="63"/>
      </left>
      <right>
        <color indexed="63"/>
      </right>
      <top style="thin"/>
      <bottom>
        <color indexed="63"/>
      </bottom>
    </border>
    <border>
      <left style="thin">
        <color rgb="FF7F7F7F"/>
      </left>
      <right style="thin">
        <color rgb="FF7F7F7F"/>
      </right>
      <top>
        <color indexed="63"/>
      </top>
      <bottom style="thin">
        <color rgb="FF7F7F7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10">
    <xf numFmtId="0" fontId="0" fillId="0" borderId="0" xfId="0" applyFont="1" applyAlignment="1">
      <alignment/>
    </xf>
    <xf numFmtId="0" fontId="61" fillId="0" borderId="0" xfId="0" applyFont="1" applyBorder="1" applyAlignment="1">
      <alignment/>
    </xf>
    <xf numFmtId="0" fontId="61"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Alignment="1">
      <alignment/>
    </xf>
    <xf numFmtId="0" fontId="4" fillId="0" borderId="12" xfId="0" applyFont="1" applyBorder="1" applyAlignment="1">
      <alignment/>
    </xf>
    <xf numFmtId="0" fontId="3" fillId="0" borderId="13" xfId="0" applyFont="1" applyBorder="1" applyAlignment="1">
      <alignment/>
    </xf>
    <xf numFmtId="0" fontId="4" fillId="0" borderId="14" xfId="0" applyFont="1" applyBorder="1" applyAlignment="1">
      <alignment/>
    </xf>
    <xf numFmtId="0" fontId="3" fillId="33" borderId="12" xfId="0" applyFont="1" applyFill="1" applyBorder="1" applyAlignment="1">
      <alignment horizontal="center"/>
    </xf>
    <xf numFmtId="0" fontId="3" fillId="0" borderId="0" xfId="0" applyFont="1" applyFill="1" applyBorder="1" applyAlignment="1">
      <alignment horizontal="center"/>
    </xf>
    <xf numFmtId="0" fontId="3" fillId="33" borderId="12" xfId="0" applyFont="1" applyFill="1" applyBorder="1" applyAlignment="1">
      <alignment horizontal="left"/>
    </xf>
    <xf numFmtId="0" fontId="4" fillId="0" borderId="12" xfId="0" applyFont="1" applyBorder="1" applyAlignment="1">
      <alignment horizontal="left"/>
    </xf>
    <xf numFmtId="0" fontId="4" fillId="0" borderId="12" xfId="0" applyFont="1" applyBorder="1" applyAlignment="1">
      <alignment wrapText="1"/>
    </xf>
    <xf numFmtId="0" fontId="3" fillId="33" borderId="12" xfId="0" applyFont="1" applyFill="1" applyBorder="1" applyAlignment="1">
      <alignment wrapText="1"/>
    </xf>
    <xf numFmtId="0" fontId="3" fillId="0" borderId="12" xfId="0" applyFont="1" applyFill="1" applyBorder="1" applyAlignment="1">
      <alignment horizontal="left"/>
    </xf>
    <xf numFmtId="0" fontId="3" fillId="33" borderId="12" xfId="0" applyFont="1" applyFill="1" applyBorder="1" applyAlignment="1">
      <alignment/>
    </xf>
    <xf numFmtId="43" fontId="5" fillId="0" borderId="0" xfId="0" applyNumberFormat="1" applyFont="1" applyAlignment="1">
      <alignment/>
    </xf>
    <xf numFmtId="0" fontId="4" fillId="0" borderId="15" xfId="0" applyFont="1" applyBorder="1" applyAlignment="1">
      <alignment/>
    </xf>
    <xf numFmtId="0" fontId="3" fillId="33" borderId="12" xfId="0" applyFont="1" applyFill="1" applyBorder="1" applyAlignment="1">
      <alignment horizontal="right"/>
    </xf>
    <xf numFmtId="0" fontId="3" fillId="0" borderId="13" xfId="0" applyFont="1" applyBorder="1" applyAlignment="1">
      <alignment horizontal="center" wrapText="1"/>
    </xf>
    <xf numFmtId="0" fontId="3" fillId="0" borderId="0" xfId="0" applyFont="1" applyFill="1" applyBorder="1" applyAlignment="1">
      <alignment horizontal="left"/>
    </xf>
    <xf numFmtId="0" fontId="4" fillId="0" borderId="12" xfId="0" applyFont="1" applyFill="1" applyBorder="1" applyAlignment="1">
      <alignment wrapText="1"/>
    </xf>
    <xf numFmtId="0" fontId="4" fillId="0" borderId="12" xfId="0" applyFont="1" applyFill="1" applyBorder="1" applyAlignment="1">
      <alignment horizontal="left"/>
    </xf>
    <xf numFmtId="0" fontId="3" fillId="34" borderId="12" xfId="0" applyFont="1" applyFill="1" applyBorder="1" applyAlignment="1">
      <alignment horizontal="center"/>
    </xf>
    <xf numFmtId="0" fontId="3" fillId="34" borderId="16" xfId="0" applyFont="1" applyFill="1" applyBorder="1" applyAlignment="1">
      <alignment horizontal="center"/>
    </xf>
    <xf numFmtId="0" fontId="3" fillId="6" borderId="17" xfId="0" applyFont="1" applyFill="1" applyBorder="1" applyAlignment="1">
      <alignment horizontal="center"/>
    </xf>
    <xf numFmtId="0" fontId="3" fillId="6" borderId="12" xfId="0" applyFont="1" applyFill="1" applyBorder="1" applyAlignment="1">
      <alignment horizontal="center"/>
    </xf>
    <xf numFmtId="0" fontId="2" fillId="0" borderId="0" xfId="0" applyFont="1" applyFill="1" applyBorder="1" applyAlignment="1">
      <alignment vertical="top" wrapText="1"/>
    </xf>
    <xf numFmtId="0" fontId="62" fillId="0" borderId="0" xfId="0" applyFont="1" applyAlignment="1">
      <alignment/>
    </xf>
    <xf numFmtId="0" fontId="63" fillId="0" borderId="0" xfId="0" applyFont="1" applyAlignment="1">
      <alignment/>
    </xf>
    <xf numFmtId="1" fontId="4" fillId="0" borderId="12" xfId="0" applyNumberFormat="1" applyFont="1" applyFill="1" applyBorder="1" applyAlignment="1">
      <alignment horizontal="left"/>
    </xf>
    <xf numFmtId="1" fontId="4" fillId="0" borderId="12" xfId="0" applyNumberFormat="1" applyFont="1" applyFill="1" applyBorder="1" applyAlignment="1">
      <alignment/>
    </xf>
    <xf numFmtId="1" fontId="4" fillId="0" borderId="16" xfId="0" applyNumberFormat="1" applyFont="1" applyFill="1" applyBorder="1" applyAlignment="1">
      <alignment/>
    </xf>
    <xf numFmtId="1" fontId="4" fillId="0" borderId="14" xfId="0" applyNumberFormat="1" applyFont="1" applyFill="1" applyBorder="1" applyAlignment="1">
      <alignment wrapText="1"/>
    </xf>
    <xf numFmtId="1" fontId="4" fillId="0" borderId="12" xfId="0" applyNumberFormat="1" applyFont="1" applyFill="1" applyBorder="1" applyAlignment="1">
      <alignment wrapText="1"/>
    </xf>
    <xf numFmtId="1" fontId="61" fillId="0" borderId="0" xfId="0" applyNumberFormat="1" applyFont="1" applyAlignment="1">
      <alignment/>
    </xf>
    <xf numFmtId="1" fontId="3" fillId="34" borderId="12" xfId="0" applyNumberFormat="1"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left" wrapText="1"/>
    </xf>
    <xf numFmtId="0" fontId="64" fillId="0" borderId="12" xfId="0" applyFont="1" applyBorder="1" applyAlignment="1">
      <alignment wrapText="1"/>
    </xf>
    <xf numFmtId="0" fontId="65" fillId="33" borderId="12" xfId="0" applyFont="1" applyFill="1" applyBorder="1" applyAlignment="1">
      <alignment wrapText="1"/>
    </xf>
    <xf numFmtId="0" fontId="64" fillId="33" borderId="12" xfId="0" applyFont="1" applyFill="1" applyBorder="1" applyAlignment="1">
      <alignment wrapText="1"/>
    </xf>
    <xf numFmtId="0" fontId="66" fillId="33" borderId="12" xfId="0" applyFont="1" applyFill="1" applyBorder="1" applyAlignment="1">
      <alignment horizontal="center"/>
    </xf>
    <xf numFmtId="0" fontId="67" fillId="0" borderId="0" xfId="0" applyFont="1" applyBorder="1" applyAlignment="1">
      <alignment/>
    </xf>
    <xf numFmtId="0" fontId="68" fillId="0" borderId="0" xfId="0" applyFont="1" applyBorder="1" applyAlignment="1">
      <alignment horizontal="left" wrapText="1"/>
    </xf>
    <xf numFmtId="0" fontId="67" fillId="0" borderId="0" xfId="0" applyFont="1" applyFill="1" applyAlignment="1">
      <alignment/>
    </xf>
    <xf numFmtId="0" fontId="67" fillId="0" borderId="0" xfId="0" applyFont="1" applyAlignment="1">
      <alignment/>
    </xf>
    <xf numFmtId="0" fontId="67" fillId="0" borderId="0" xfId="0" applyFont="1" applyAlignment="1">
      <alignment wrapText="1"/>
    </xf>
    <xf numFmtId="49" fontId="4" fillId="0" borderId="0" xfId="0" applyNumberFormat="1" applyFont="1" applyAlignment="1">
      <alignment horizontal="left"/>
    </xf>
    <xf numFmtId="0" fontId="4" fillId="35" borderId="12" xfId="0" applyFont="1" applyFill="1" applyBorder="1" applyAlignment="1">
      <alignment/>
    </xf>
    <xf numFmtId="0" fontId="64" fillId="35" borderId="12" xfId="0" applyFont="1" applyFill="1" applyBorder="1" applyAlignment="1">
      <alignment wrapText="1"/>
    </xf>
    <xf numFmtId="0" fontId="69" fillId="35" borderId="12" xfId="0" applyFont="1" applyFill="1" applyBorder="1" applyAlignment="1">
      <alignment wrapText="1"/>
    </xf>
    <xf numFmtId="0" fontId="4" fillId="35" borderId="12" xfId="0" applyFont="1" applyFill="1" applyBorder="1" applyAlignment="1">
      <alignment wrapText="1"/>
    </xf>
    <xf numFmtId="0" fontId="67" fillId="0" borderId="12" xfId="0" applyFont="1" applyBorder="1" applyAlignment="1">
      <alignment/>
    </xf>
    <xf numFmtId="0" fontId="67" fillId="35" borderId="0" xfId="0" applyFont="1" applyFill="1" applyAlignment="1">
      <alignment/>
    </xf>
    <xf numFmtId="0" fontId="67" fillId="35" borderId="0" xfId="0" applyFont="1" applyFill="1" applyAlignment="1">
      <alignment horizontal="left"/>
    </xf>
    <xf numFmtId="0" fontId="67" fillId="35" borderId="0" xfId="0" applyFont="1" applyFill="1" applyAlignment="1">
      <alignment wrapText="1"/>
    </xf>
    <xf numFmtId="0" fontId="67" fillId="0" borderId="0" xfId="0" applyFont="1" applyAlignment="1">
      <alignment horizontal="left"/>
    </xf>
    <xf numFmtId="0" fontId="4" fillId="36" borderId="12" xfId="0" applyFont="1" applyFill="1" applyBorder="1" applyAlignment="1">
      <alignment horizontal="left"/>
    </xf>
    <xf numFmtId="0" fontId="4" fillId="36" borderId="12" xfId="0" applyFont="1" applyFill="1" applyBorder="1" applyAlignment="1">
      <alignment wrapText="1"/>
    </xf>
    <xf numFmtId="0" fontId="67" fillId="36" borderId="12" xfId="0" applyFont="1" applyFill="1" applyBorder="1" applyAlignment="1">
      <alignment/>
    </xf>
    <xf numFmtId="0" fontId="67" fillId="33" borderId="12" xfId="0" applyFont="1" applyFill="1" applyBorder="1" applyAlignment="1">
      <alignment/>
    </xf>
    <xf numFmtId="0" fontId="70" fillId="36" borderId="12" xfId="0" applyFont="1" applyFill="1" applyBorder="1" applyAlignment="1">
      <alignment/>
    </xf>
    <xf numFmtId="9" fontId="4" fillId="0" borderId="17" xfId="0" applyNumberFormat="1" applyFont="1" applyFill="1" applyBorder="1" applyAlignment="1">
      <alignment/>
    </xf>
    <xf numFmtId="9" fontId="4" fillId="0" borderId="12" xfId="0" applyNumberFormat="1" applyFont="1" applyFill="1" applyBorder="1" applyAlignment="1">
      <alignment/>
    </xf>
    <xf numFmtId="0" fontId="3" fillId="0" borderId="18" xfId="0" applyFont="1" applyBorder="1" applyAlignment="1">
      <alignment horizontal="center"/>
    </xf>
    <xf numFmtId="164" fontId="4" fillId="0" borderId="19" xfId="42" applyNumberFormat="1" applyFont="1" applyBorder="1" applyAlignment="1">
      <alignment/>
    </xf>
    <xf numFmtId="164" fontId="4" fillId="0" borderId="14" xfId="42" applyNumberFormat="1" applyFont="1" applyBorder="1" applyAlignment="1">
      <alignment/>
    </xf>
    <xf numFmtId="164" fontId="4" fillId="0" borderId="20" xfId="42" applyNumberFormat="1" applyFont="1" applyBorder="1" applyAlignment="1">
      <alignment/>
    </xf>
    <xf numFmtId="164" fontId="4" fillId="0" borderId="21" xfId="42" applyNumberFormat="1" applyFont="1" applyBorder="1" applyAlignment="1">
      <alignment/>
    </xf>
    <xf numFmtId="164" fontId="4" fillId="0" borderId="12" xfId="42" applyNumberFormat="1" applyFont="1" applyBorder="1" applyAlignment="1">
      <alignment/>
    </xf>
    <xf numFmtId="0" fontId="71" fillId="33" borderId="12" xfId="0" applyFont="1" applyFill="1" applyBorder="1" applyAlignment="1">
      <alignment wrapText="1"/>
    </xf>
    <xf numFmtId="49" fontId="6" fillId="0" borderId="0" xfId="0" applyNumberFormat="1" applyFont="1" applyFill="1" applyAlignment="1">
      <alignment horizontal="left" wrapText="1"/>
    </xf>
    <xf numFmtId="0" fontId="64" fillId="0" borderId="12" xfId="0" applyFont="1" applyFill="1" applyBorder="1" applyAlignment="1">
      <alignment wrapText="1"/>
    </xf>
    <xf numFmtId="0" fontId="67" fillId="0" borderId="0" xfId="0" applyFont="1" applyFill="1" applyAlignment="1">
      <alignment horizontal="left"/>
    </xf>
    <xf numFmtId="0" fontId="67" fillId="0" borderId="0" xfId="0" applyFont="1" applyFill="1" applyAlignment="1">
      <alignment wrapText="1"/>
    </xf>
    <xf numFmtId="43" fontId="4" fillId="0" borderId="0" xfId="0" applyNumberFormat="1" applyFont="1" applyAlignment="1">
      <alignment horizontal="left"/>
    </xf>
    <xf numFmtId="0" fontId="67" fillId="0" borderId="12" xfId="0" applyFont="1" applyFill="1" applyBorder="1" applyAlignment="1">
      <alignment wrapText="1"/>
    </xf>
    <xf numFmtId="43" fontId="4" fillId="0" borderId="0" xfId="0" applyNumberFormat="1" applyFont="1" applyFill="1" applyAlignment="1">
      <alignment horizontal="left"/>
    </xf>
    <xf numFmtId="0" fontId="64" fillId="0" borderId="0" xfId="0" applyFont="1" applyAlignment="1">
      <alignment wrapText="1"/>
    </xf>
    <xf numFmtId="0" fontId="67" fillId="0" borderId="12" xfId="0" applyFont="1" applyBorder="1" applyAlignment="1">
      <alignment wrapText="1"/>
    </xf>
    <xf numFmtId="0" fontId="67" fillId="0" borderId="0" xfId="0" applyFont="1" applyBorder="1" applyAlignment="1">
      <alignment horizontal="left"/>
    </xf>
    <xf numFmtId="0" fontId="67" fillId="0" borderId="0" xfId="0" applyFont="1" applyBorder="1" applyAlignment="1">
      <alignment wrapText="1"/>
    </xf>
    <xf numFmtId="0" fontId="67" fillId="0" borderId="0" xfId="0" applyFont="1" applyFill="1" applyBorder="1" applyAlignment="1">
      <alignment horizontal="left"/>
    </xf>
    <xf numFmtId="0" fontId="67" fillId="0" borderId="0" xfId="0" applyFont="1" applyFill="1" applyBorder="1" applyAlignment="1">
      <alignment wrapText="1"/>
    </xf>
    <xf numFmtId="0" fontId="67" fillId="0" borderId="0" xfId="0" applyFont="1" applyFill="1" applyBorder="1" applyAlignment="1">
      <alignment/>
    </xf>
    <xf numFmtId="49" fontId="64" fillId="0" borderId="12" xfId="0" applyNumberFormat="1" applyFont="1" applyBorder="1" applyAlignment="1">
      <alignment horizontal="center" wrapText="1"/>
    </xf>
    <xf numFmtId="43" fontId="4" fillId="0" borderId="0" xfId="0" applyNumberFormat="1" applyFont="1" applyAlignment="1">
      <alignment horizontal="left" wrapText="1"/>
    </xf>
    <xf numFmtId="0" fontId="68" fillId="0" borderId="0" xfId="0" applyFont="1" applyAlignment="1">
      <alignment wrapText="1"/>
    </xf>
    <xf numFmtId="0" fontId="67" fillId="35" borderId="12" xfId="0" applyFont="1" applyFill="1" applyBorder="1" applyAlignment="1">
      <alignment/>
    </xf>
    <xf numFmtId="0" fontId="64" fillId="33" borderId="0" xfId="0" applyFont="1" applyFill="1" applyBorder="1" applyAlignment="1">
      <alignment wrapText="1"/>
    </xf>
    <xf numFmtId="0" fontId="64" fillId="0" borderId="0" xfId="0" applyFont="1" applyAlignment="1">
      <alignment/>
    </xf>
    <xf numFmtId="0" fontId="70" fillId="33" borderId="12" xfId="0" applyFont="1" applyFill="1" applyBorder="1" applyAlignment="1">
      <alignment/>
    </xf>
    <xf numFmtId="0" fontId="65" fillId="0" borderId="12" xfId="0" applyFont="1" applyFill="1" applyBorder="1" applyAlignment="1">
      <alignment wrapText="1"/>
    </xf>
    <xf numFmtId="0" fontId="4" fillId="0" borderId="12" xfId="0" applyFont="1" applyFill="1" applyBorder="1" applyAlignment="1">
      <alignment/>
    </xf>
    <xf numFmtId="164" fontId="67" fillId="0" borderId="21" xfId="42" applyNumberFormat="1" applyFont="1" applyBorder="1" applyAlignment="1">
      <alignment/>
    </xf>
    <xf numFmtId="0" fontId="67" fillId="0" borderId="12" xfId="0" applyFont="1" applyBorder="1" applyAlignment="1">
      <alignment horizontal="left"/>
    </xf>
    <xf numFmtId="164" fontId="67" fillId="0" borderId="12" xfId="42" applyNumberFormat="1" applyFont="1" applyBorder="1" applyAlignment="1">
      <alignment/>
    </xf>
    <xf numFmtId="0" fontId="67" fillId="0" borderId="22" xfId="0" applyFont="1" applyBorder="1" applyAlignment="1">
      <alignment/>
    </xf>
    <xf numFmtId="164" fontId="67" fillId="0" borderId="23" xfId="42" applyNumberFormat="1" applyFont="1" applyBorder="1" applyAlignment="1">
      <alignment/>
    </xf>
    <xf numFmtId="164" fontId="67" fillId="0" borderId="22" xfId="42" applyNumberFormat="1" applyFont="1" applyBorder="1" applyAlignment="1">
      <alignment/>
    </xf>
    <xf numFmtId="164" fontId="67" fillId="0" borderId="24" xfId="42" applyNumberFormat="1" applyFont="1" applyBorder="1" applyAlignment="1">
      <alignment/>
    </xf>
    <xf numFmtId="164" fontId="67" fillId="0" borderId="25" xfId="42" applyNumberFormat="1" applyFont="1" applyBorder="1" applyAlignment="1">
      <alignment/>
    </xf>
    <xf numFmtId="164" fontId="67" fillId="0" borderId="26" xfId="42" applyNumberFormat="1" applyFont="1" applyBorder="1" applyAlignment="1">
      <alignment/>
    </xf>
    <xf numFmtId="165" fontId="3" fillId="33" borderId="12" xfId="45" applyNumberFormat="1" applyFont="1" applyFill="1" applyBorder="1" applyAlignment="1">
      <alignment horizontal="center"/>
    </xf>
    <xf numFmtId="165" fontId="4" fillId="33" borderId="12" xfId="45" applyNumberFormat="1" applyFont="1" applyFill="1" applyBorder="1" applyAlignment="1">
      <alignment horizontal="center"/>
    </xf>
    <xf numFmtId="165" fontId="4" fillId="35" borderId="12" xfId="45" applyNumberFormat="1" applyFont="1" applyFill="1" applyBorder="1" applyAlignment="1">
      <alignment/>
    </xf>
    <xf numFmtId="165" fontId="67" fillId="0" borderId="12" xfId="45" applyNumberFormat="1" applyFont="1" applyBorder="1" applyAlignment="1">
      <alignment/>
    </xf>
    <xf numFmtId="165" fontId="67" fillId="33" borderId="12" xfId="45" applyNumberFormat="1" applyFont="1" applyFill="1" applyBorder="1" applyAlignment="1">
      <alignment/>
    </xf>
    <xf numFmtId="165" fontId="67" fillId="0" borderId="12" xfId="45" applyNumberFormat="1" applyFont="1" applyFill="1" applyBorder="1" applyAlignment="1">
      <alignment/>
    </xf>
    <xf numFmtId="165" fontId="67" fillId="0" borderId="21" xfId="45" applyNumberFormat="1" applyFont="1" applyBorder="1" applyAlignment="1">
      <alignment/>
    </xf>
    <xf numFmtId="165" fontId="67" fillId="0" borderId="27" xfId="45" applyNumberFormat="1" applyFont="1" applyBorder="1" applyAlignment="1">
      <alignment/>
    </xf>
    <xf numFmtId="165" fontId="67" fillId="35" borderId="21" xfId="45" applyNumberFormat="1" applyFont="1" applyFill="1" applyBorder="1" applyAlignment="1">
      <alignment/>
    </xf>
    <xf numFmtId="165" fontId="67" fillId="35" borderId="12" xfId="45" applyNumberFormat="1" applyFont="1" applyFill="1" applyBorder="1" applyAlignment="1">
      <alignment/>
    </xf>
    <xf numFmtId="165" fontId="4" fillId="33" borderId="12" xfId="45" applyNumberFormat="1" applyFont="1" applyFill="1" applyBorder="1" applyAlignment="1">
      <alignment/>
    </xf>
    <xf numFmtId="165" fontId="4" fillId="0" borderId="12" xfId="45" applyNumberFormat="1" applyFont="1" applyFill="1" applyBorder="1" applyAlignment="1">
      <alignment/>
    </xf>
    <xf numFmtId="165" fontId="67" fillId="33" borderId="0" xfId="45" applyNumberFormat="1" applyFont="1" applyFill="1" applyBorder="1" applyAlignment="1">
      <alignment/>
    </xf>
    <xf numFmtId="165" fontId="67" fillId="0" borderId="0" xfId="45" applyNumberFormat="1" applyFont="1" applyAlignment="1">
      <alignment/>
    </xf>
    <xf numFmtId="0" fontId="70" fillId="0" borderId="0" xfId="0" applyFont="1" applyAlignment="1">
      <alignment/>
    </xf>
    <xf numFmtId="0" fontId="3" fillId="36" borderId="12" xfId="0" applyFont="1" applyFill="1" applyBorder="1" applyAlignment="1">
      <alignment horizontal="center"/>
    </xf>
    <xf numFmtId="0" fontId="3" fillId="36" borderId="12" xfId="0" applyFont="1" applyFill="1" applyBorder="1" applyAlignment="1">
      <alignment horizontal="left"/>
    </xf>
    <xf numFmtId="0" fontId="3" fillId="36" borderId="12" xfId="0" applyFont="1" applyFill="1" applyBorder="1" applyAlignment="1">
      <alignment wrapText="1"/>
    </xf>
    <xf numFmtId="0" fontId="3" fillId="36" borderId="12" xfId="0" applyFont="1" applyFill="1" applyBorder="1" applyAlignment="1">
      <alignment/>
    </xf>
    <xf numFmtId="0" fontId="3" fillId="36" borderId="12" xfId="0" applyFont="1" applyFill="1" applyBorder="1" applyAlignment="1">
      <alignment horizontal="right"/>
    </xf>
    <xf numFmtId="0" fontId="4" fillId="36" borderId="12" xfId="0" applyFont="1" applyFill="1" applyBorder="1" applyAlignment="1">
      <alignment/>
    </xf>
    <xf numFmtId="0" fontId="67" fillId="36" borderId="12" xfId="0" applyFont="1" applyFill="1" applyBorder="1" applyAlignment="1">
      <alignment wrapText="1"/>
    </xf>
    <xf numFmtId="0" fontId="3" fillId="36" borderId="12" xfId="0" applyFont="1" applyFill="1" applyBorder="1" applyAlignment="1">
      <alignment horizontal="center" vertical="top" wrapText="1"/>
    </xf>
    <xf numFmtId="0" fontId="3" fillId="33" borderId="11" xfId="0" applyFont="1" applyFill="1" applyBorder="1" applyAlignment="1">
      <alignment horizontal="right"/>
    </xf>
    <xf numFmtId="0" fontId="3" fillId="33" borderId="0" xfId="0" applyFont="1" applyFill="1" applyBorder="1" applyAlignment="1">
      <alignment horizontal="right"/>
    </xf>
    <xf numFmtId="0" fontId="70" fillId="36" borderId="12" xfId="0" applyFont="1" applyFill="1" applyBorder="1" applyAlignment="1">
      <alignment horizontal="right"/>
    </xf>
    <xf numFmtId="165" fontId="4" fillId="36" borderId="12" xfId="45" applyNumberFormat="1" applyFont="1" applyFill="1" applyBorder="1" applyAlignment="1">
      <alignment/>
    </xf>
    <xf numFmtId="165" fontId="3" fillId="36" borderId="12" xfId="45" applyNumberFormat="1" applyFont="1" applyFill="1" applyBorder="1" applyAlignment="1">
      <alignment wrapText="1"/>
    </xf>
    <xf numFmtId="165" fontId="4" fillId="36" borderId="12" xfId="45" applyNumberFormat="1" applyFont="1" applyFill="1" applyBorder="1" applyAlignment="1">
      <alignment wrapText="1"/>
    </xf>
    <xf numFmtId="165" fontId="3" fillId="36" borderId="12" xfId="45" applyNumberFormat="1" applyFont="1" applyFill="1" applyBorder="1" applyAlignment="1">
      <alignment/>
    </xf>
    <xf numFmtId="165" fontId="67" fillId="36" borderId="12" xfId="45" applyNumberFormat="1" applyFont="1" applyFill="1" applyBorder="1" applyAlignment="1">
      <alignment/>
    </xf>
    <xf numFmtId="0" fontId="3" fillId="36" borderId="12" xfId="0" applyFont="1" applyFill="1" applyBorder="1" applyAlignment="1">
      <alignment vertical="top" wrapText="1"/>
    </xf>
    <xf numFmtId="0" fontId="4" fillId="0" borderId="0" xfId="0" applyFont="1" applyFill="1" applyBorder="1" applyAlignment="1">
      <alignment wrapText="1"/>
    </xf>
    <xf numFmtId="0" fontId="61" fillId="0" borderId="0" xfId="0" applyFont="1" applyFill="1" applyBorder="1" applyAlignment="1">
      <alignment/>
    </xf>
    <xf numFmtId="0" fontId="3" fillId="0" borderId="0" xfId="0" applyFont="1" applyFill="1" applyBorder="1" applyAlignment="1">
      <alignment/>
    </xf>
    <xf numFmtId="1" fontId="4" fillId="0" borderId="0" xfId="0" applyNumberFormat="1" applyFont="1" applyFill="1" applyBorder="1" applyAlignment="1">
      <alignment/>
    </xf>
    <xf numFmtId="0" fontId="2" fillId="0" borderId="0" xfId="0" applyFont="1" applyFill="1" applyBorder="1" applyAlignment="1">
      <alignment vertical="top"/>
    </xf>
    <xf numFmtId="49" fontId="4" fillId="0" borderId="0" xfId="0" applyNumberFormat="1" applyFont="1" applyFill="1" applyAlignment="1">
      <alignment horizontal="left"/>
    </xf>
    <xf numFmtId="17" fontId="3" fillId="36" borderId="12" xfId="0" applyNumberFormat="1" applyFont="1" applyFill="1" applyBorder="1" applyAlignment="1">
      <alignment horizontal="center"/>
    </xf>
    <xf numFmtId="17" fontId="3" fillId="36" borderId="12" xfId="0" applyNumberFormat="1" applyFont="1" applyFill="1" applyBorder="1" applyAlignment="1">
      <alignment horizontal="center" wrapText="1"/>
    </xf>
    <xf numFmtId="43" fontId="4" fillId="0" borderId="12" xfId="42" applyFont="1" applyBorder="1" applyAlignment="1">
      <alignment horizontal="left"/>
    </xf>
    <xf numFmtId="43" fontId="70" fillId="36" borderId="12" xfId="0" applyNumberFormat="1" applyFont="1" applyFill="1" applyBorder="1" applyAlignment="1">
      <alignment horizontal="left"/>
    </xf>
    <xf numFmtId="0" fontId="67" fillId="0" borderId="12" xfId="0" applyFont="1" applyFill="1" applyBorder="1" applyAlignment="1">
      <alignment horizontal="left"/>
    </xf>
    <xf numFmtId="0" fontId="67" fillId="0" borderId="12" xfId="0" applyFont="1" applyFill="1" applyBorder="1" applyAlignment="1">
      <alignment/>
    </xf>
    <xf numFmtId="0" fontId="67" fillId="36" borderId="12" xfId="0" applyFont="1" applyFill="1" applyBorder="1" applyAlignment="1">
      <alignment horizontal="left"/>
    </xf>
    <xf numFmtId="43" fontId="67" fillId="36" borderId="12" xfId="0" applyNumberFormat="1" applyFont="1" applyFill="1" applyBorder="1" applyAlignment="1">
      <alignment horizontal="left"/>
    </xf>
    <xf numFmtId="49" fontId="4" fillId="36" borderId="12" xfId="0" applyNumberFormat="1" applyFont="1" applyFill="1" applyBorder="1" applyAlignment="1">
      <alignment horizontal="left"/>
    </xf>
    <xf numFmtId="165" fontId="3" fillId="0" borderId="12" xfId="45" applyNumberFormat="1" applyFont="1" applyFill="1" applyBorder="1" applyAlignment="1">
      <alignment horizontal="center"/>
    </xf>
    <xf numFmtId="3" fontId="7" fillId="0" borderId="12" xfId="0" applyNumberFormat="1" applyFont="1" applyFill="1" applyBorder="1" applyAlignment="1" applyProtection="1">
      <alignment/>
      <protection/>
    </xf>
    <xf numFmtId="3" fontId="8" fillId="0" borderId="12" xfId="0" applyNumberFormat="1" applyFont="1" applyFill="1" applyBorder="1" applyAlignment="1" applyProtection="1">
      <alignment/>
      <protection/>
    </xf>
    <xf numFmtId="0" fontId="7" fillId="0" borderId="12" xfId="0" applyFont="1" applyFill="1" applyBorder="1" applyAlignment="1" applyProtection="1">
      <alignment/>
      <protection/>
    </xf>
    <xf numFmtId="0" fontId="8" fillId="0" borderId="12" xfId="0" applyFont="1" applyFill="1" applyBorder="1" applyAlignment="1" applyProtection="1">
      <alignment/>
      <protection/>
    </xf>
    <xf numFmtId="0" fontId="9" fillId="0" borderId="12" xfId="0" applyFont="1" applyBorder="1" applyAlignment="1" applyProtection="1">
      <alignment horizontal="left" vertical="top" indent="2"/>
      <protection/>
    </xf>
    <xf numFmtId="3" fontId="4" fillId="0" borderId="12" xfId="0" applyNumberFormat="1" applyFont="1" applyFill="1" applyBorder="1" applyAlignment="1" applyProtection="1">
      <alignment horizontal="left" indent="2"/>
      <protection/>
    </xf>
    <xf numFmtId="3" fontId="10" fillId="0" borderId="12" xfId="0" applyNumberFormat="1" applyFont="1" applyFill="1" applyBorder="1" applyAlignment="1" applyProtection="1">
      <alignment/>
      <protection/>
    </xf>
    <xf numFmtId="0" fontId="3" fillId="0" borderId="12" xfId="0" applyFont="1" applyFill="1" applyBorder="1" applyAlignment="1" applyProtection="1">
      <alignment vertical="center"/>
      <protection/>
    </xf>
    <xf numFmtId="43" fontId="67" fillId="36" borderId="12" xfId="42" applyFont="1" applyFill="1" applyBorder="1" applyAlignment="1">
      <alignment/>
    </xf>
    <xf numFmtId="3" fontId="5" fillId="0" borderId="12" xfId="0" applyNumberFormat="1" applyFont="1" applyFill="1" applyBorder="1" applyAlignment="1" applyProtection="1">
      <alignment horizontal="left" indent="6"/>
      <protection locked="0"/>
    </xf>
    <xf numFmtId="43" fontId="67" fillId="0" borderId="12" xfId="42" applyFont="1" applyFill="1" applyBorder="1" applyAlignment="1">
      <alignment/>
    </xf>
    <xf numFmtId="3" fontId="5" fillId="0" borderId="12" xfId="0" applyNumberFormat="1" applyFont="1" applyFill="1" applyBorder="1" applyAlignment="1" applyProtection="1">
      <alignment horizontal="left" wrapText="1" indent="6"/>
      <protection locked="0"/>
    </xf>
    <xf numFmtId="3" fontId="4" fillId="36" borderId="12" xfId="0" applyNumberFormat="1" applyFont="1" applyFill="1" applyBorder="1" applyAlignment="1" applyProtection="1">
      <alignment horizontal="left" indent="2"/>
      <protection/>
    </xf>
    <xf numFmtId="43" fontId="67" fillId="36" borderId="12" xfId="0" applyNumberFormat="1" applyFont="1" applyFill="1" applyBorder="1" applyAlignment="1">
      <alignment/>
    </xf>
    <xf numFmtId="0" fontId="3" fillId="36" borderId="12" xfId="0" applyFont="1" applyFill="1" applyBorder="1" applyAlignment="1" applyProtection="1">
      <alignment vertical="center"/>
      <protection/>
    </xf>
    <xf numFmtId="43" fontId="67" fillId="0" borderId="12" xfId="42" applyFont="1" applyBorder="1" applyAlignment="1">
      <alignment/>
    </xf>
    <xf numFmtId="44" fontId="70" fillId="36" borderId="12" xfId="0" applyNumberFormat="1" applyFont="1" applyFill="1" applyBorder="1" applyAlignment="1">
      <alignment/>
    </xf>
    <xf numFmtId="44" fontId="67" fillId="36" borderId="12" xfId="0" applyNumberFormat="1" applyFont="1" applyFill="1" applyBorder="1" applyAlignment="1">
      <alignment/>
    </xf>
    <xf numFmtId="43" fontId="4" fillId="36" borderId="12" xfId="42" applyFont="1" applyFill="1" applyBorder="1" applyAlignment="1">
      <alignment horizontal="left"/>
    </xf>
    <xf numFmtId="17" fontId="3" fillId="0" borderId="12" xfId="0" applyNumberFormat="1" applyFont="1" applyFill="1" applyBorder="1" applyAlignment="1">
      <alignment horizontal="center"/>
    </xf>
    <xf numFmtId="43" fontId="4" fillId="0" borderId="12" xfId="42" applyFont="1" applyFill="1" applyBorder="1" applyAlignment="1">
      <alignment horizontal="left"/>
    </xf>
    <xf numFmtId="43" fontId="70" fillId="0" borderId="12" xfId="0" applyNumberFormat="1" applyFont="1" applyFill="1" applyBorder="1" applyAlignment="1">
      <alignment horizontal="left"/>
    </xf>
    <xf numFmtId="43" fontId="67" fillId="0" borderId="12" xfId="0" applyNumberFormat="1" applyFont="1" applyFill="1" applyBorder="1" applyAlignment="1">
      <alignment horizontal="left"/>
    </xf>
    <xf numFmtId="43" fontId="67" fillId="0" borderId="12" xfId="0" applyNumberFormat="1" applyFont="1" applyFill="1" applyBorder="1" applyAlignment="1">
      <alignment/>
    </xf>
    <xf numFmtId="44" fontId="67" fillId="0" borderId="12" xfId="0" applyNumberFormat="1" applyFont="1" applyFill="1" applyBorder="1" applyAlignment="1">
      <alignment/>
    </xf>
    <xf numFmtId="44" fontId="70" fillId="0" borderId="12" xfId="0" applyNumberFormat="1" applyFont="1" applyFill="1" applyBorder="1" applyAlignment="1">
      <alignment/>
    </xf>
    <xf numFmtId="0" fontId="72" fillId="0" borderId="0" xfId="0" applyFont="1" applyAlignment="1">
      <alignment/>
    </xf>
    <xf numFmtId="0" fontId="73" fillId="0" borderId="0" xfId="0" applyFont="1" applyAlignment="1">
      <alignment/>
    </xf>
    <xf numFmtId="0" fontId="11" fillId="37" borderId="11" xfId="0" applyFont="1" applyFill="1" applyBorder="1" applyAlignment="1">
      <alignment/>
    </xf>
    <xf numFmtId="0" fontId="11" fillId="0" borderId="0" xfId="0" applyFont="1" applyFill="1" applyBorder="1" applyAlignment="1">
      <alignment/>
    </xf>
    <xf numFmtId="0" fontId="73" fillId="0" borderId="0" xfId="0" applyFont="1" applyBorder="1" applyAlignment="1">
      <alignment/>
    </xf>
    <xf numFmtId="0" fontId="11" fillId="0" borderId="0" xfId="0" applyFont="1" applyFill="1" applyBorder="1" applyAlignment="1">
      <alignment horizontal="left"/>
    </xf>
    <xf numFmtId="0" fontId="73" fillId="0" borderId="0" xfId="0" applyFont="1" applyFill="1" applyBorder="1" applyAlignment="1">
      <alignment/>
    </xf>
    <xf numFmtId="0" fontId="73" fillId="0" borderId="0" xfId="0" applyFont="1" applyFill="1" applyAlignment="1">
      <alignment/>
    </xf>
    <xf numFmtId="0" fontId="65" fillId="0" borderId="12" xfId="0" applyFont="1" applyBorder="1" applyAlignment="1">
      <alignment wrapText="1"/>
    </xf>
    <xf numFmtId="165" fontId="3" fillId="36" borderId="12" xfId="45" applyNumberFormat="1" applyFont="1" applyFill="1" applyBorder="1" applyAlignment="1">
      <alignment horizontal="center" wrapText="1"/>
    </xf>
    <xf numFmtId="0" fontId="3" fillId="6" borderId="12" xfId="0" applyFont="1" applyFill="1" applyBorder="1" applyAlignment="1">
      <alignment horizontal="center" wrapText="1"/>
    </xf>
    <xf numFmtId="165" fontId="3" fillId="0" borderId="0" xfId="45" applyNumberFormat="1" applyFont="1" applyFill="1" applyBorder="1" applyAlignment="1">
      <alignment/>
    </xf>
    <xf numFmtId="0" fontId="3" fillId="0" borderId="0" xfId="0" applyFont="1" applyFill="1" applyBorder="1" applyAlignment="1">
      <alignment wrapText="1"/>
    </xf>
    <xf numFmtId="0" fontId="59" fillId="0" borderId="12" xfId="58" applyFont="1" applyFill="1" applyBorder="1">
      <alignment/>
      <protection/>
    </xf>
    <xf numFmtId="0" fontId="0" fillId="0" borderId="12" xfId="58" applyFont="1" applyFill="1" applyBorder="1">
      <alignment/>
      <protection/>
    </xf>
    <xf numFmtId="0" fontId="0" fillId="0" borderId="12" xfId="0" applyBorder="1" applyAlignment="1">
      <alignment/>
    </xf>
    <xf numFmtId="0" fontId="0" fillId="0" borderId="12" xfId="58" applyFont="1" applyBorder="1">
      <alignment/>
      <protection/>
    </xf>
    <xf numFmtId="0" fontId="59" fillId="0" borderId="12" xfId="58" applyFont="1" applyBorder="1">
      <alignment/>
      <protection/>
    </xf>
    <xf numFmtId="164" fontId="0" fillId="0" borderId="12" xfId="44" applyNumberFormat="1" applyFont="1" applyBorder="1" applyAlignment="1">
      <alignment/>
    </xf>
    <xf numFmtId="164" fontId="0" fillId="0" borderId="12" xfId="44" applyNumberFormat="1" applyFont="1" applyFill="1" applyBorder="1" applyAlignment="1">
      <alignment wrapText="1"/>
    </xf>
    <xf numFmtId="164" fontId="0" fillId="0" borderId="21" xfId="44" applyNumberFormat="1" applyFont="1" applyFill="1" applyBorder="1" applyAlignment="1">
      <alignment wrapText="1"/>
    </xf>
    <xf numFmtId="164" fontId="59" fillId="2" borderId="12" xfId="44" applyNumberFormat="1" applyFont="1" applyFill="1" applyBorder="1" applyAlignment="1">
      <alignment wrapText="1"/>
    </xf>
    <xf numFmtId="164" fontId="59" fillId="2" borderId="12" xfId="44" applyNumberFormat="1" applyFont="1" applyFill="1" applyBorder="1" applyAlignment="1">
      <alignment/>
    </xf>
    <xf numFmtId="164" fontId="59" fillId="0" borderId="12" xfId="44" applyNumberFormat="1" applyFont="1" applyBorder="1" applyAlignment="1">
      <alignment/>
    </xf>
    <xf numFmtId="9" fontId="59" fillId="0" borderId="12" xfId="62" applyFont="1" applyBorder="1" applyAlignment="1">
      <alignment/>
    </xf>
    <xf numFmtId="9" fontId="0" fillId="0" borderId="12" xfId="62" applyFont="1" applyBorder="1" applyAlignment="1">
      <alignment/>
    </xf>
    <xf numFmtId="43" fontId="67" fillId="0" borderId="0" xfId="42" applyFont="1" applyAlignment="1">
      <alignment/>
    </xf>
    <xf numFmtId="164" fontId="67" fillId="0" borderId="0" xfId="42" applyNumberFormat="1" applyFont="1" applyAlignment="1">
      <alignment/>
    </xf>
    <xf numFmtId="43" fontId="3" fillId="33" borderId="12" xfId="42" applyFont="1" applyFill="1" applyBorder="1" applyAlignment="1">
      <alignment horizontal="center"/>
    </xf>
    <xf numFmtId="43" fontId="4" fillId="33" borderId="12" xfId="42" applyFont="1" applyFill="1" applyBorder="1" applyAlignment="1">
      <alignment horizontal="center"/>
    </xf>
    <xf numFmtId="43" fontId="4" fillId="35" borderId="12" xfId="42" applyFont="1" applyFill="1" applyBorder="1" applyAlignment="1">
      <alignment/>
    </xf>
    <xf numFmtId="43" fontId="67" fillId="33" borderId="12" xfId="42" applyFont="1" applyFill="1" applyBorder="1" applyAlignment="1">
      <alignment/>
    </xf>
    <xf numFmtId="0" fontId="59" fillId="0" borderId="0" xfId="0" applyFont="1" applyBorder="1" applyAlignment="1">
      <alignment horizontal="centerContinuous"/>
    </xf>
    <xf numFmtId="0" fontId="59" fillId="0" borderId="0" xfId="0" applyFont="1" applyAlignment="1">
      <alignment/>
    </xf>
    <xf numFmtId="164" fontId="59" fillId="0" borderId="0" xfId="42" applyNumberFormat="1" applyFont="1" applyFill="1" applyBorder="1" applyAlignment="1">
      <alignment/>
    </xf>
    <xf numFmtId="164" fontId="0" fillId="0" borderId="0" xfId="42" applyNumberFormat="1" applyFill="1" applyBorder="1" applyAlignment="1">
      <alignment/>
    </xf>
    <xf numFmtId="164" fontId="59" fillId="0" borderId="12" xfId="42" applyNumberFormat="1" applyFont="1" applyFill="1" applyBorder="1" applyAlignment="1">
      <alignment/>
    </xf>
    <xf numFmtId="0" fontId="0" fillId="0" borderId="0" xfId="0" applyAlignment="1">
      <alignment wrapText="1"/>
    </xf>
    <xf numFmtId="0" fontId="0" fillId="38" borderId="0" xfId="0" applyFill="1" applyBorder="1" applyAlignment="1">
      <alignment/>
    </xf>
    <xf numFmtId="0" fontId="59" fillId="0" borderId="12" xfId="0" applyFont="1" applyBorder="1" applyAlignment="1">
      <alignment/>
    </xf>
    <xf numFmtId="169" fontId="54" fillId="30" borderId="1" xfId="55" applyNumberFormat="1" applyAlignment="1">
      <alignment/>
    </xf>
    <xf numFmtId="169" fontId="54" fillId="30" borderId="1" xfId="55" applyNumberFormat="1" applyAlignment="1">
      <alignment/>
    </xf>
    <xf numFmtId="3" fontId="59" fillId="0" borderId="0" xfId="0" applyNumberFormat="1" applyFont="1" applyAlignment="1">
      <alignment/>
    </xf>
    <xf numFmtId="3" fontId="0" fillId="0" borderId="0" xfId="0" applyNumberFormat="1" applyAlignment="1">
      <alignment/>
    </xf>
    <xf numFmtId="164" fontId="0" fillId="0" borderId="0" xfId="0" applyNumberFormat="1" applyAlignment="1">
      <alignment/>
    </xf>
    <xf numFmtId="43" fontId="0" fillId="0" borderId="0" xfId="0" applyNumberFormat="1" applyAlignment="1">
      <alignment/>
    </xf>
    <xf numFmtId="3" fontId="54" fillId="38" borderId="1" xfId="55" applyNumberFormat="1" applyFill="1" applyAlignment="1">
      <alignment/>
    </xf>
    <xf numFmtId="164" fontId="0" fillId="0" borderId="12" xfId="42" applyNumberFormat="1" applyFont="1" applyBorder="1" applyAlignment="1">
      <alignment/>
    </xf>
    <xf numFmtId="3" fontId="54" fillId="30" borderId="1" xfId="55" applyNumberFormat="1" applyAlignment="1">
      <alignment/>
    </xf>
    <xf numFmtId="10" fontId="54" fillId="30" borderId="1" xfId="55" applyNumberFormat="1" applyAlignment="1">
      <alignment/>
    </xf>
    <xf numFmtId="9" fontId="54" fillId="30" borderId="1" xfId="55" applyNumberFormat="1" applyAlignment="1">
      <alignment/>
    </xf>
    <xf numFmtId="9" fontId="54" fillId="30" borderId="28" xfId="61" applyFont="1" applyFill="1" applyBorder="1" applyAlignment="1">
      <alignment/>
    </xf>
    <xf numFmtId="0" fontId="59" fillId="0" borderId="0" xfId="0" applyFont="1" applyBorder="1" applyAlignment="1">
      <alignment/>
    </xf>
    <xf numFmtId="42" fontId="0" fillId="0" borderId="0" xfId="0" applyNumberFormat="1" applyAlignment="1">
      <alignment/>
    </xf>
    <xf numFmtId="164" fontId="0" fillId="0" borderId="0" xfId="42" applyNumberFormat="1" applyFont="1" applyAlignment="1">
      <alignment/>
    </xf>
    <xf numFmtId="42" fontId="0" fillId="38" borderId="0" xfId="0" applyNumberFormat="1" applyFill="1" applyAlignment="1">
      <alignment/>
    </xf>
    <xf numFmtId="164" fontId="0" fillId="12" borderId="0" xfId="42" applyNumberFormat="1" applyFont="1" applyFill="1" applyAlignment="1">
      <alignment/>
    </xf>
    <xf numFmtId="164" fontId="0" fillId="9" borderId="0" xfId="42" applyNumberFormat="1" applyFont="1" applyFill="1" applyAlignment="1">
      <alignment/>
    </xf>
    <xf numFmtId="41" fontId="54" fillId="30" borderId="1" xfId="55" applyNumberFormat="1" applyAlignment="1">
      <alignment/>
    </xf>
    <xf numFmtId="164" fontId="0" fillId="2" borderId="0" xfId="42" applyNumberFormat="1" applyFont="1" applyFill="1" applyAlignment="1">
      <alignment/>
    </xf>
    <xf numFmtId="164" fontId="0" fillId="34" borderId="0" xfId="42" applyNumberFormat="1" applyFont="1" applyFill="1" applyAlignment="1">
      <alignment/>
    </xf>
    <xf numFmtId="0" fontId="0" fillId="34" borderId="0" xfId="0" applyFill="1" applyAlignment="1">
      <alignment/>
    </xf>
    <xf numFmtId="167" fontId="0" fillId="0" borderId="0" xfId="61" applyNumberFormat="1" applyFont="1" applyAlignment="1">
      <alignment/>
    </xf>
    <xf numFmtId="41" fontId="0" fillId="0" borderId="0" xfId="0" applyNumberFormat="1" applyAlignment="1">
      <alignment/>
    </xf>
    <xf numFmtId="41" fontId="54" fillId="10" borderId="1" xfId="55" applyNumberFormat="1" applyFill="1" applyAlignment="1">
      <alignment/>
    </xf>
    <xf numFmtId="41" fontId="54" fillId="12" borderId="1" xfId="55" applyNumberFormat="1" applyFill="1" applyAlignment="1">
      <alignment/>
    </xf>
    <xf numFmtId="41" fontId="54" fillId="9" borderId="1" xfId="55" applyNumberFormat="1" applyFill="1" applyAlignment="1">
      <alignment/>
    </xf>
    <xf numFmtId="164" fontId="54" fillId="30" borderId="1" xfId="42" applyNumberFormat="1" applyFont="1" applyFill="1" applyBorder="1" applyAlignment="1">
      <alignment/>
    </xf>
    <xf numFmtId="41" fontId="54" fillId="2" borderId="1" xfId="55" applyNumberFormat="1" applyFill="1" applyAlignment="1">
      <alignment/>
    </xf>
    <xf numFmtId="164" fontId="67" fillId="0" borderId="0" xfId="0" applyNumberFormat="1" applyFont="1" applyAlignment="1">
      <alignment/>
    </xf>
    <xf numFmtId="164" fontId="3" fillId="0" borderId="0" xfId="0" applyNumberFormat="1" applyFont="1" applyBorder="1" applyAlignment="1">
      <alignment/>
    </xf>
    <xf numFmtId="164" fontId="67" fillId="0" borderId="0" xfId="0" applyNumberFormat="1" applyFont="1" applyBorder="1" applyAlignment="1">
      <alignment/>
    </xf>
    <xf numFmtId="164" fontId="0" fillId="0" borderId="12" xfId="42" applyNumberFormat="1" applyFont="1" applyFill="1" applyBorder="1" applyAlignment="1">
      <alignment wrapText="1"/>
    </xf>
    <xf numFmtId="164" fontId="0" fillId="0" borderId="12" xfId="42" applyNumberFormat="1" applyFont="1" applyBorder="1" applyAlignment="1">
      <alignment/>
    </xf>
    <xf numFmtId="164" fontId="59" fillId="2" borderId="12" xfId="42" applyNumberFormat="1" applyFont="1" applyFill="1" applyBorder="1" applyAlignment="1">
      <alignment/>
    </xf>
    <xf numFmtId="0" fontId="0" fillId="0" borderId="12" xfId="0" applyBorder="1" applyAlignment="1">
      <alignment/>
    </xf>
    <xf numFmtId="0" fontId="59" fillId="0" borderId="12" xfId="0" applyFont="1" applyBorder="1" applyAlignment="1">
      <alignment/>
    </xf>
    <xf numFmtId="164" fontId="59" fillId="0" borderId="12" xfId="42" applyNumberFormat="1" applyFont="1" applyBorder="1" applyAlignment="1">
      <alignment/>
    </xf>
    <xf numFmtId="164" fontId="0" fillId="0" borderId="12" xfId="0" applyNumberFormat="1" applyBorder="1" applyAlignment="1">
      <alignment/>
    </xf>
    <xf numFmtId="167" fontId="0" fillId="0" borderId="12" xfId="61" applyNumberFormat="1" applyFont="1" applyBorder="1" applyAlignment="1">
      <alignment/>
    </xf>
    <xf numFmtId="0" fontId="59" fillId="0" borderId="21" xfId="0" applyFont="1" applyBorder="1" applyAlignment="1">
      <alignment/>
    </xf>
    <xf numFmtId="0" fontId="59" fillId="2" borderId="12" xfId="0" applyFont="1" applyFill="1" applyBorder="1" applyAlignment="1">
      <alignment/>
    </xf>
    <xf numFmtId="0" fontId="0" fillId="0" borderId="27" xfId="0" applyFill="1" applyBorder="1" applyAlignment="1">
      <alignment/>
    </xf>
    <xf numFmtId="9" fontId="0" fillId="0" borderId="27" xfId="0" applyNumberFormat="1" applyFill="1" applyBorder="1" applyAlignment="1">
      <alignment/>
    </xf>
    <xf numFmtId="0" fontId="0" fillId="0" borderId="29" xfId="0" applyFill="1" applyBorder="1" applyAlignment="1">
      <alignment/>
    </xf>
    <xf numFmtId="0" fontId="59" fillId="38" borderId="21" xfId="0" applyFont="1" applyFill="1" applyBorder="1" applyAlignment="1">
      <alignment horizontal="centerContinuous"/>
    </xf>
    <xf numFmtId="0" fontId="59" fillId="38" borderId="27" xfId="0" applyFont="1" applyFill="1" applyBorder="1" applyAlignment="1">
      <alignment horizontal="centerContinuous"/>
    </xf>
    <xf numFmtId="164" fontId="59" fillId="0" borderId="21" xfId="42" applyNumberFormat="1" applyFont="1" applyFill="1" applyBorder="1" applyAlignment="1">
      <alignment/>
    </xf>
    <xf numFmtId="0" fontId="0" fillId="0" borderId="27" xfId="0" applyBorder="1" applyAlignment="1">
      <alignment/>
    </xf>
    <xf numFmtId="0" fontId="59" fillId="0" borderId="12" xfId="0" applyFont="1" applyBorder="1" applyAlignment="1">
      <alignment horizontal="right"/>
    </xf>
    <xf numFmtId="164" fontId="0" fillId="0" borderId="21" xfId="42" applyNumberFormat="1" applyFont="1" applyFill="1" applyBorder="1" applyAlignment="1">
      <alignment/>
    </xf>
    <xf numFmtId="164" fontId="0" fillId="0" borderId="21" xfId="42" applyNumberFormat="1" applyFill="1" applyBorder="1" applyAlignment="1">
      <alignment/>
    </xf>
    <xf numFmtId="164" fontId="0" fillId="38" borderId="21" xfId="42" applyNumberFormat="1" applyFont="1" applyFill="1" applyBorder="1" applyAlignment="1">
      <alignment/>
    </xf>
    <xf numFmtId="0" fontId="0" fillId="0" borderId="21" xfId="0" applyBorder="1" applyAlignment="1">
      <alignment/>
    </xf>
    <xf numFmtId="164" fontId="3" fillId="0" borderId="13" xfId="0" applyNumberFormat="1" applyFont="1" applyBorder="1" applyAlignment="1">
      <alignment/>
    </xf>
    <xf numFmtId="3" fontId="67" fillId="0" borderId="0" xfId="0" applyNumberFormat="1" applyFont="1" applyAlignment="1">
      <alignment/>
    </xf>
    <xf numFmtId="0" fontId="0" fillId="0" borderId="12" xfId="58" applyFont="1" applyBorder="1">
      <alignment/>
      <protection/>
    </xf>
    <xf numFmtId="164" fontId="59" fillId="0" borderId="12" xfId="58" applyNumberFormat="1" applyFont="1" applyBorder="1">
      <alignment/>
      <protection/>
    </xf>
    <xf numFmtId="164" fontId="3" fillId="0" borderId="12" xfId="42" applyNumberFormat="1" applyFont="1" applyBorder="1" applyAlignment="1">
      <alignment/>
    </xf>
    <xf numFmtId="1" fontId="61" fillId="0" borderId="0" xfId="0" applyNumberFormat="1" applyFont="1" applyBorder="1" applyAlignment="1">
      <alignment/>
    </xf>
    <xf numFmtId="2" fontId="4" fillId="0" borderId="12" xfId="0" applyNumberFormat="1" applyFont="1" applyFill="1" applyBorder="1" applyAlignment="1">
      <alignment/>
    </xf>
    <xf numFmtId="43" fontId="61" fillId="0" borderId="0" xfId="42" applyFont="1" applyAlignment="1">
      <alignment/>
    </xf>
    <xf numFmtId="0" fontId="67" fillId="33" borderId="12" xfId="0" applyFont="1" applyFill="1" applyBorder="1" applyAlignment="1">
      <alignment wrapText="1"/>
    </xf>
    <xf numFmtId="165" fontId="67" fillId="0" borderId="0" xfId="0" applyNumberFormat="1" applyFont="1" applyAlignment="1">
      <alignment/>
    </xf>
    <xf numFmtId="168" fontId="54" fillId="38" borderId="30" xfId="42" applyNumberFormat="1" applyFont="1" applyFill="1" applyBorder="1" applyAlignment="1">
      <alignment/>
    </xf>
    <xf numFmtId="168" fontId="54" fillId="30" borderId="1" xfId="42" applyNumberFormat="1" applyFont="1" applyFill="1" applyBorder="1" applyAlignment="1">
      <alignment/>
    </xf>
    <xf numFmtId="168" fontId="54" fillId="30" borderId="1" xfId="42" applyNumberFormat="1" applyFont="1" applyFill="1" applyBorder="1" applyAlignment="1">
      <alignment/>
    </xf>
    <xf numFmtId="168" fontId="54" fillId="30" borderId="30" xfId="42" applyNumberFormat="1" applyFont="1" applyFill="1" applyBorder="1" applyAlignment="1">
      <alignment/>
    </xf>
    <xf numFmtId="1" fontId="3" fillId="0" borderId="0" xfId="0" applyNumberFormat="1" applyFont="1" applyBorder="1" applyAlignment="1">
      <alignment/>
    </xf>
    <xf numFmtId="1" fontId="67" fillId="0" borderId="0" xfId="0" applyNumberFormat="1" applyFont="1" applyBorder="1" applyAlignment="1">
      <alignment/>
    </xf>
    <xf numFmtId="0" fontId="67" fillId="35" borderId="12" xfId="0" applyFont="1" applyFill="1" applyBorder="1" applyAlignment="1">
      <alignment wrapText="1"/>
    </xf>
    <xf numFmtId="0" fontId="11" fillId="0" borderId="0"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17" xfId="0" applyFont="1" applyFill="1" applyBorder="1" applyAlignment="1">
      <alignment horizontal="left" vertical="top" wrapText="1"/>
    </xf>
    <xf numFmtId="1" fontId="2" fillId="33" borderId="21" xfId="0" applyNumberFormat="1" applyFont="1" applyFill="1" applyBorder="1" applyAlignment="1">
      <alignment horizontal="left" vertical="top" wrapText="1"/>
    </xf>
    <xf numFmtId="1" fontId="2" fillId="33" borderId="27" xfId="0" applyNumberFormat="1" applyFont="1" applyFill="1" applyBorder="1" applyAlignment="1">
      <alignment horizontal="left" vertical="top" wrapText="1"/>
    </xf>
    <xf numFmtId="1" fontId="2" fillId="33" borderId="17" xfId="0" applyNumberFormat="1" applyFont="1" applyFill="1" applyBorder="1" applyAlignment="1">
      <alignment horizontal="left" vertical="top" wrapText="1"/>
    </xf>
    <xf numFmtId="0" fontId="3" fillId="0" borderId="31" xfId="0" applyFont="1" applyBorder="1" applyAlignment="1">
      <alignment horizontal="center" vertical="top" wrapText="1"/>
    </xf>
    <xf numFmtId="0" fontId="3" fillId="0" borderId="32" xfId="0" applyFont="1" applyBorder="1" applyAlignment="1">
      <alignment horizontal="center" vertical="top" wrapText="1"/>
    </xf>
    <xf numFmtId="0" fontId="3" fillId="0" borderId="33" xfId="0" applyFont="1" applyBorder="1" applyAlignment="1">
      <alignment horizontal="center" vertical="top" wrapText="1"/>
    </xf>
    <xf numFmtId="0" fontId="3" fillId="0" borderId="0" xfId="0" applyFont="1" applyBorder="1" applyAlignment="1">
      <alignment horizontal="center" vertical="top"/>
    </xf>
    <xf numFmtId="0" fontId="74" fillId="0" borderId="0" xfId="0" applyFont="1" applyBorder="1" applyAlignment="1">
      <alignment horizontal="center" vertical="top" wrapText="1"/>
    </xf>
    <xf numFmtId="0" fontId="3" fillId="0" borderId="24" xfId="0" applyFont="1" applyBorder="1" applyAlignment="1">
      <alignment horizontal="center"/>
    </xf>
    <xf numFmtId="0" fontId="3" fillId="0" borderId="18" xfId="0" applyFont="1" applyBorder="1" applyAlignment="1">
      <alignment horizontal="center"/>
    </xf>
    <xf numFmtId="0" fontId="3" fillId="0" borderId="26" xfId="0" applyFont="1" applyBorder="1" applyAlignment="1">
      <alignment horizontal="center"/>
    </xf>
    <xf numFmtId="0" fontId="3" fillId="0" borderId="12" xfId="0" applyFont="1" applyBorder="1" applyAlignment="1">
      <alignment horizontal="center" vertical="top"/>
    </xf>
    <xf numFmtId="0" fontId="3" fillId="0" borderId="24" xfId="0" applyFont="1" applyBorder="1" applyAlignment="1">
      <alignment horizontal="left" vertical="top"/>
    </xf>
    <xf numFmtId="0" fontId="3" fillId="0" borderId="18" xfId="0" applyFont="1" applyBorder="1" applyAlignment="1">
      <alignment horizontal="left" vertical="top"/>
    </xf>
    <xf numFmtId="0" fontId="3" fillId="0" borderId="26" xfId="0" applyFont="1" applyBorder="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
  <sheetViews>
    <sheetView workbookViewId="0" topLeftCell="A1">
      <selection activeCell="A1" sqref="A1"/>
    </sheetView>
  </sheetViews>
  <sheetFormatPr defaultColWidth="11.57421875" defaultRowHeight="15"/>
  <cols>
    <col min="1" max="1" width="9.421875" style="181" bestFit="1" customWidth="1"/>
    <col min="2" max="16384" width="11.421875" style="181" customWidth="1"/>
  </cols>
  <sheetData>
    <row r="1" ht="15">
      <c r="A1" s="180" t="s">
        <v>137</v>
      </c>
    </row>
    <row r="2" ht="15">
      <c r="A2" s="181" t="s">
        <v>170</v>
      </c>
    </row>
    <row r="4" spans="1:7" ht="15">
      <c r="A4" s="182" t="s">
        <v>141</v>
      </c>
      <c r="B4" s="183"/>
      <c r="C4" s="183"/>
      <c r="D4" s="183"/>
      <c r="E4" s="183"/>
      <c r="F4" s="183"/>
      <c r="G4" s="183"/>
    </row>
    <row r="5" spans="1:6" ht="15">
      <c r="A5" s="184"/>
      <c r="B5" s="184"/>
      <c r="C5" s="184"/>
      <c r="D5" s="184"/>
      <c r="E5" s="184"/>
      <c r="F5" s="184"/>
    </row>
    <row r="6" spans="1:7" ht="15">
      <c r="A6" s="185" t="s">
        <v>145</v>
      </c>
      <c r="B6" s="186"/>
      <c r="C6" s="186"/>
      <c r="D6" s="186"/>
      <c r="E6" s="186"/>
      <c r="F6" s="186"/>
      <c r="G6" s="187"/>
    </row>
    <row r="7" spans="1:7" ht="15">
      <c r="A7" s="185" t="s">
        <v>144</v>
      </c>
      <c r="B7" s="186"/>
      <c r="C7" s="186"/>
      <c r="D7" s="186"/>
      <c r="E7" s="186"/>
      <c r="F7" s="186"/>
      <c r="G7" s="187"/>
    </row>
    <row r="8" spans="1:7" ht="15">
      <c r="A8" s="185" t="s">
        <v>143</v>
      </c>
      <c r="B8" s="185"/>
      <c r="C8" s="185"/>
      <c r="D8" s="185"/>
      <c r="E8" s="185"/>
      <c r="F8" s="185"/>
      <c r="G8" s="187"/>
    </row>
    <row r="9" spans="1:7" ht="15">
      <c r="A9" s="185" t="s">
        <v>138</v>
      </c>
      <c r="B9" s="185"/>
      <c r="C9" s="185"/>
      <c r="D9" s="185"/>
      <c r="E9" s="185"/>
      <c r="F9" s="185"/>
      <c r="G9" s="187"/>
    </row>
    <row r="10" spans="1:7" ht="15">
      <c r="A10" s="185" t="s">
        <v>139</v>
      </c>
      <c r="B10" s="185"/>
      <c r="C10" s="185"/>
      <c r="D10" s="185"/>
      <c r="E10" s="185"/>
      <c r="F10" s="185"/>
      <c r="G10" s="187"/>
    </row>
    <row r="11" spans="1:7" ht="15">
      <c r="A11" s="185" t="s">
        <v>140</v>
      </c>
      <c r="B11" s="186"/>
      <c r="C11" s="186"/>
      <c r="D11" s="186"/>
      <c r="E11" s="186"/>
      <c r="F11" s="186"/>
      <c r="G11" s="187"/>
    </row>
    <row r="13" spans="1:12" ht="50.25" customHeight="1">
      <c r="A13" s="291" t="s">
        <v>147</v>
      </c>
      <c r="B13" s="291"/>
      <c r="C13" s="291"/>
      <c r="D13" s="291"/>
      <c r="E13" s="291"/>
      <c r="F13" s="291"/>
      <c r="G13" s="291"/>
      <c r="H13" s="291"/>
      <c r="I13" s="291"/>
      <c r="J13" s="291"/>
      <c r="K13" s="291"/>
      <c r="L13" s="291"/>
    </row>
    <row r="15" spans="1:12" ht="56.25" customHeight="1">
      <c r="A15" s="291" t="s">
        <v>156</v>
      </c>
      <c r="B15" s="291"/>
      <c r="C15" s="291"/>
      <c r="D15" s="291"/>
      <c r="E15" s="291"/>
      <c r="F15" s="291"/>
      <c r="G15" s="291"/>
      <c r="H15" s="291"/>
      <c r="I15" s="291"/>
      <c r="J15" s="291"/>
      <c r="K15" s="291"/>
      <c r="L15" s="291"/>
    </row>
  </sheetData>
  <sheetProtection/>
  <mergeCells count="2">
    <mergeCell ref="A13:L13"/>
    <mergeCell ref="A15:L15"/>
  </mergeCells>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sheetPr>
    <tabColor theme="3"/>
  </sheetPr>
  <dimension ref="A1:E144"/>
  <sheetViews>
    <sheetView workbookViewId="0" topLeftCell="A1">
      <selection activeCell="A1" sqref="A1"/>
    </sheetView>
  </sheetViews>
  <sheetFormatPr defaultColWidth="11.57421875" defaultRowHeight="15"/>
  <cols>
    <col min="1" max="1" width="45.28125" style="48" bestFit="1" customWidth="1"/>
    <col min="2" max="2" width="14.7109375" style="119" customWidth="1"/>
    <col min="3" max="3" width="12.421875" style="206" customWidth="1"/>
    <col min="4" max="4" width="37.8515625" style="93" bestFit="1" customWidth="1"/>
    <col min="5" max="5" width="2.421875" style="48" customWidth="1"/>
    <col min="6" max="16384" width="11.421875" style="48" customWidth="1"/>
  </cols>
  <sheetData>
    <row r="1" spans="1:2" ht="12">
      <c r="A1" s="120" t="str">
        <f>'YEAR 1'!A1</f>
        <v>Enrollment</v>
      </c>
      <c r="B1" s="119">
        <f>'Combined '!F2</f>
        <v>1348</v>
      </c>
    </row>
    <row r="2" ht="12.75" thickBot="1"/>
    <row r="3" spans="1:4" ht="12">
      <c r="A3" s="298" t="s">
        <v>118</v>
      </c>
      <c r="B3" s="299"/>
      <c r="C3" s="299"/>
      <c r="D3" s="300"/>
    </row>
    <row r="4" spans="1:5" s="11" customFormat="1" ht="12">
      <c r="A4" s="10" t="s">
        <v>0</v>
      </c>
      <c r="B4" s="106" t="s">
        <v>1</v>
      </c>
      <c r="C4" s="208" t="s">
        <v>227</v>
      </c>
      <c r="D4" s="10" t="s">
        <v>89</v>
      </c>
      <c r="E4" s="22"/>
    </row>
    <row r="5" spans="1:4" s="11" customFormat="1" ht="12">
      <c r="A5" s="122" t="s">
        <v>90</v>
      </c>
      <c r="B5" s="107"/>
      <c r="C5" s="209"/>
      <c r="D5" s="44"/>
    </row>
    <row r="6" spans="1:4" s="45" customFormat="1" ht="12">
      <c r="A6" s="24" t="s">
        <v>93</v>
      </c>
      <c r="B6" s="108">
        <f>'Combined '!F6</f>
        <v>9151347.87479407</v>
      </c>
      <c r="C6" s="210">
        <f>B6/$B$1</f>
        <v>6788.8337350104375</v>
      </c>
      <c r="D6" s="290" t="s">
        <v>282</v>
      </c>
    </row>
    <row r="7" spans="1:5" ht="12">
      <c r="A7" s="23" t="s">
        <v>94</v>
      </c>
      <c r="B7" s="109"/>
      <c r="C7" s="210">
        <f aca="true" t="shared" si="0" ref="C7:C17">B7/$B$1</f>
        <v>0</v>
      </c>
      <c r="D7" s="41" t="s">
        <v>5</v>
      </c>
      <c r="E7" s="50"/>
    </row>
    <row r="8" spans="1:5" ht="12">
      <c r="A8" s="23" t="s">
        <v>74</v>
      </c>
      <c r="B8" s="109"/>
      <c r="C8" s="210">
        <f t="shared" si="0"/>
        <v>0</v>
      </c>
      <c r="D8" s="41"/>
      <c r="E8" s="50"/>
    </row>
    <row r="9" spans="1:5" ht="12">
      <c r="A9" s="23" t="s">
        <v>149</v>
      </c>
      <c r="B9" s="109"/>
      <c r="C9" s="210">
        <f t="shared" si="0"/>
        <v>0</v>
      </c>
      <c r="D9" s="41"/>
      <c r="E9" s="50"/>
    </row>
    <row r="10" spans="1:5" ht="12">
      <c r="A10" s="23" t="s">
        <v>95</v>
      </c>
      <c r="B10" s="109"/>
      <c r="C10" s="210">
        <f t="shared" si="0"/>
        <v>0</v>
      </c>
      <c r="D10" s="41"/>
      <c r="E10" s="50"/>
    </row>
    <row r="11" spans="1:5" ht="12">
      <c r="A11" s="23" t="s">
        <v>96</v>
      </c>
      <c r="B11" s="109"/>
      <c r="C11" s="210">
        <f t="shared" si="0"/>
        <v>0</v>
      </c>
      <c r="D11" s="41"/>
      <c r="E11" s="50"/>
    </row>
    <row r="12" spans="1:5" ht="12">
      <c r="A12" s="23" t="s">
        <v>97</v>
      </c>
      <c r="B12" s="109">
        <f>'Combined '!F12</f>
        <v>64966</v>
      </c>
      <c r="C12" s="210">
        <f t="shared" si="0"/>
        <v>48.19436201780415</v>
      </c>
      <c r="D12" s="290" t="s">
        <v>282</v>
      </c>
      <c r="E12" s="50"/>
    </row>
    <row r="13" spans="1:5" ht="12">
      <c r="A13" s="23" t="s">
        <v>98</v>
      </c>
      <c r="B13" s="109"/>
      <c r="C13" s="210">
        <f t="shared" si="0"/>
        <v>0</v>
      </c>
      <c r="D13" s="41"/>
      <c r="E13" s="50"/>
    </row>
    <row r="14" spans="1:5" ht="12">
      <c r="A14" s="23" t="s">
        <v>165</v>
      </c>
      <c r="B14" s="109">
        <f>'Combined '!F13</f>
        <v>672106.2602965403</v>
      </c>
      <c r="C14" s="210">
        <f t="shared" si="0"/>
        <v>498.59514858793796</v>
      </c>
      <c r="D14" s="290" t="s">
        <v>282</v>
      </c>
      <c r="E14" s="50"/>
    </row>
    <row r="15" spans="1:5" ht="12">
      <c r="A15" s="23" t="s">
        <v>166</v>
      </c>
      <c r="B15" s="109"/>
      <c r="C15" s="210">
        <f t="shared" si="0"/>
        <v>0</v>
      </c>
      <c r="D15" s="95"/>
      <c r="E15" s="50"/>
    </row>
    <row r="16" spans="1:5" ht="12">
      <c r="A16" s="23" t="s">
        <v>104</v>
      </c>
      <c r="B16" s="109"/>
      <c r="C16" s="210">
        <f t="shared" si="0"/>
        <v>0</v>
      </c>
      <c r="D16" s="41"/>
      <c r="E16" s="50"/>
    </row>
    <row r="17" spans="1:5" ht="12">
      <c r="A17" s="23" t="s">
        <v>104</v>
      </c>
      <c r="B17" s="109"/>
      <c r="C17" s="210">
        <f t="shared" si="0"/>
        <v>0</v>
      </c>
      <c r="D17" s="41"/>
      <c r="E17" s="50"/>
    </row>
    <row r="18" spans="1:5" ht="12">
      <c r="A18" s="15" t="s">
        <v>42</v>
      </c>
      <c r="B18" s="110"/>
      <c r="C18" s="211"/>
      <c r="D18" s="73"/>
      <c r="E18" s="50"/>
    </row>
    <row r="19" spans="1:5" ht="12">
      <c r="A19" s="23" t="s">
        <v>112</v>
      </c>
      <c r="B19" s="111">
        <f>'Combined '!F8</f>
        <v>322231.6161449753</v>
      </c>
      <c r="C19" s="210">
        <f aca="true" t="shared" si="1" ref="C19:C35">B19/$B$1</f>
        <v>239.04422562683627</v>
      </c>
      <c r="D19" s="188"/>
      <c r="E19" s="50"/>
    </row>
    <row r="20" spans="1:5" ht="12">
      <c r="A20" s="23" t="s">
        <v>150</v>
      </c>
      <c r="B20" s="109">
        <f>'Combined '!F9</f>
        <v>1715851.230642504</v>
      </c>
      <c r="C20" s="210">
        <f t="shared" si="1"/>
        <v>1272.886669616101</v>
      </c>
      <c r="D20" s="290" t="s">
        <v>282</v>
      </c>
      <c r="E20" s="59"/>
    </row>
    <row r="21" spans="1:5" ht="12">
      <c r="A21" s="24" t="s">
        <v>2</v>
      </c>
      <c r="B21" s="109">
        <f>'Combined '!F10</f>
        <v>415366.4398682043</v>
      </c>
      <c r="C21" s="210">
        <f t="shared" si="1"/>
        <v>308.1353411485195</v>
      </c>
      <c r="D21" s="290" t="s">
        <v>282</v>
      </c>
      <c r="E21" s="59"/>
    </row>
    <row r="22" spans="1:5" ht="12">
      <c r="A22" s="24" t="s">
        <v>3</v>
      </c>
      <c r="B22" s="109">
        <f>'Combined '!F7*0.65</f>
        <v>469527.01812191104</v>
      </c>
      <c r="C22" s="210">
        <f t="shared" si="1"/>
        <v>348.3138116631388</v>
      </c>
      <c r="D22" s="290" t="s">
        <v>282</v>
      </c>
      <c r="E22" s="59"/>
    </row>
    <row r="23" spans="1:5" ht="12">
      <c r="A23" s="23" t="s">
        <v>91</v>
      </c>
      <c r="B23" s="109">
        <f>'Combined '!F7*0.35</f>
        <v>252822.24052718285</v>
      </c>
      <c r="C23" s="210">
        <f t="shared" si="1"/>
        <v>187.55359089553625</v>
      </c>
      <c r="D23" s="290" t="s">
        <v>282</v>
      </c>
      <c r="E23" s="59"/>
    </row>
    <row r="24" spans="1:5" ht="12">
      <c r="A24" s="23" t="s">
        <v>92</v>
      </c>
      <c r="B24" s="109"/>
      <c r="C24" s="210">
        <f t="shared" si="1"/>
        <v>0</v>
      </c>
      <c r="D24" s="290" t="s">
        <v>282</v>
      </c>
      <c r="E24" s="59"/>
    </row>
    <row r="25" spans="1:5" ht="12">
      <c r="A25" s="14" t="s">
        <v>41</v>
      </c>
      <c r="B25" s="109"/>
      <c r="C25" s="210">
        <f t="shared" si="1"/>
        <v>0</v>
      </c>
      <c r="D25" s="52"/>
      <c r="E25" s="59"/>
    </row>
    <row r="26" spans="1:5" ht="12">
      <c r="A26" s="14" t="s">
        <v>41</v>
      </c>
      <c r="B26" s="110"/>
      <c r="C26" s="210">
        <f t="shared" si="1"/>
        <v>0</v>
      </c>
      <c r="D26" s="52"/>
      <c r="E26" s="50"/>
    </row>
    <row r="27" spans="1:5" ht="12">
      <c r="A27" s="15" t="s">
        <v>43</v>
      </c>
      <c r="B27" s="109"/>
      <c r="C27" s="210">
        <f t="shared" si="1"/>
        <v>0</v>
      </c>
      <c r="D27" s="43"/>
      <c r="E27" s="59"/>
    </row>
    <row r="28" spans="1:5" ht="12">
      <c r="A28" s="24" t="s">
        <v>99</v>
      </c>
      <c r="B28" s="109"/>
      <c r="C28" s="210">
        <f t="shared" si="1"/>
        <v>0</v>
      </c>
      <c r="D28" s="41"/>
      <c r="E28" s="59"/>
    </row>
    <row r="29" spans="1:5" ht="12">
      <c r="A29" s="24" t="s">
        <v>100</v>
      </c>
      <c r="B29" s="109"/>
      <c r="C29" s="210">
        <f t="shared" si="1"/>
        <v>0</v>
      </c>
      <c r="D29" s="41"/>
      <c r="E29" s="59"/>
    </row>
    <row r="30" spans="1:5" ht="12">
      <c r="A30" s="24" t="s">
        <v>101</v>
      </c>
      <c r="B30" s="109">
        <f>'Combined '!F11</f>
        <v>253702</v>
      </c>
      <c r="C30" s="210">
        <f t="shared" si="1"/>
        <v>188.20623145400594</v>
      </c>
      <c r="D30" s="41"/>
      <c r="E30" s="59"/>
    </row>
    <row r="31" spans="1:5" ht="12">
      <c r="A31" s="13" t="s">
        <v>180</v>
      </c>
      <c r="B31" s="109"/>
      <c r="C31" s="210">
        <f t="shared" si="1"/>
        <v>0</v>
      </c>
      <c r="D31" s="290" t="s">
        <v>282</v>
      </c>
      <c r="E31" s="59"/>
    </row>
    <row r="32" spans="1:5" ht="12">
      <c r="A32" s="13" t="s">
        <v>47</v>
      </c>
      <c r="B32" s="109"/>
      <c r="C32" s="210">
        <f t="shared" si="1"/>
        <v>0</v>
      </c>
      <c r="D32" s="41"/>
      <c r="E32" s="59"/>
    </row>
    <row r="33" spans="1:5" ht="12">
      <c r="A33" s="13" t="s">
        <v>47</v>
      </c>
      <c r="B33" s="109"/>
      <c r="C33" s="210">
        <f t="shared" si="1"/>
        <v>0</v>
      </c>
      <c r="D33" s="41"/>
      <c r="E33" s="59"/>
    </row>
    <row r="34" spans="1:5" ht="12">
      <c r="A34" s="20" t="s">
        <v>4</v>
      </c>
      <c r="B34" s="110">
        <f>SUM(B6:B33)</f>
        <v>13317920.680395389</v>
      </c>
      <c r="C34" s="210">
        <f t="shared" si="1"/>
        <v>9879.763116020318</v>
      </c>
      <c r="D34" s="41"/>
      <c r="E34" s="59"/>
    </row>
    <row r="35" spans="2:5" s="47" customFormat="1" ht="12">
      <c r="B35" s="111">
        <f>B34-'Combined '!F14</f>
        <v>0</v>
      </c>
      <c r="C35" s="210">
        <f t="shared" si="1"/>
        <v>0</v>
      </c>
      <c r="D35" s="43"/>
      <c r="E35" s="76"/>
    </row>
    <row r="36" spans="1:5" ht="12">
      <c r="A36" s="10"/>
      <c r="B36" s="110"/>
      <c r="C36" s="164"/>
      <c r="D36" s="75"/>
      <c r="E36" s="59"/>
    </row>
    <row r="37" spans="1:5" ht="12">
      <c r="A37" s="12" t="s">
        <v>56</v>
      </c>
      <c r="B37" s="110"/>
      <c r="C37" s="211"/>
      <c r="D37" s="43"/>
      <c r="E37" s="59"/>
    </row>
    <row r="38" spans="1:5" ht="12">
      <c r="A38" s="63" t="s">
        <v>77</v>
      </c>
      <c r="B38" s="110"/>
      <c r="C38" s="211"/>
      <c r="D38" s="282" t="s">
        <v>285</v>
      </c>
      <c r="E38" s="59"/>
    </row>
    <row r="39" spans="1:5" ht="12">
      <c r="A39" s="96" t="s">
        <v>73</v>
      </c>
      <c r="B39" s="111">
        <f>'Staffing Year 4'!F47</f>
        <v>7870270.132436456</v>
      </c>
      <c r="C39" s="210">
        <f aca="true" t="shared" si="2" ref="C39:C49">B39/$B$1</f>
        <v>5838.479326733276</v>
      </c>
      <c r="D39" s="282" t="s">
        <v>278</v>
      </c>
      <c r="E39" s="59"/>
    </row>
    <row r="40" spans="1:5" ht="12">
      <c r="A40" s="14" t="s">
        <v>151</v>
      </c>
      <c r="B40" s="111">
        <f>'TBLA Expense'!F62+'TBLA Expense'!M62</f>
        <v>203839.52924274953</v>
      </c>
      <c r="C40" s="210">
        <f t="shared" si="2"/>
        <v>151.21626798423554</v>
      </c>
      <c r="D40" s="41" t="s">
        <v>5</v>
      </c>
      <c r="E40" s="78"/>
    </row>
    <row r="41" spans="1:5" ht="12">
      <c r="A41" s="14" t="s">
        <v>74</v>
      </c>
      <c r="B41" s="111">
        <f>'TBLA Expense'!F63+'TBLA Expense'!M63</f>
        <v>64120.67233833272</v>
      </c>
      <c r="C41" s="210">
        <f t="shared" si="2"/>
        <v>47.56726434594415</v>
      </c>
      <c r="D41" s="41"/>
      <c r="E41" s="78"/>
    </row>
    <row r="42" spans="1:5" ht="12">
      <c r="A42" s="7" t="s">
        <v>75</v>
      </c>
      <c r="B42" s="111"/>
      <c r="C42" s="210">
        <f t="shared" si="2"/>
        <v>0</v>
      </c>
      <c r="D42" s="41"/>
      <c r="E42" s="78"/>
    </row>
    <row r="43" spans="1:5" ht="12">
      <c r="A43" s="7" t="s">
        <v>47</v>
      </c>
      <c r="B43" s="111"/>
      <c r="C43" s="210">
        <f t="shared" si="2"/>
        <v>0</v>
      </c>
      <c r="D43" s="41"/>
      <c r="E43" s="78"/>
    </row>
    <row r="44" spans="1:5" ht="12">
      <c r="A44" s="7" t="s">
        <v>47</v>
      </c>
      <c r="B44" s="111"/>
      <c r="C44" s="210">
        <f t="shared" si="2"/>
        <v>0</v>
      </c>
      <c r="D44" s="41"/>
      <c r="E44" s="78"/>
    </row>
    <row r="45" spans="1:5" ht="12">
      <c r="A45" s="7" t="s">
        <v>47</v>
      </c>
      <c r="B45" s="111"/>
      <c r="C45" s="210">
        <f t="shared" si="2"/>
        <v>0</v>
      </c>
      <c r="D45" s="41"/>
      <c r="E45" s="78"/>
    </row>
    <row r="46" spans="1:5" ht="12">
      <c r="A46" s="7" t="s">
        <v>47</v>
      </c>
      <c r="B46" s="111"/>
      <c r="C46" s="210">
        <f t="shared" si="2"/>
        <v>0</v>
      </c>
      <c r="D46" s="41"/>
      <c r="E46" s="78"/>
    </row>
    <row r="47" spans="1:5" ht="12">
      <c r="A47" s="7"/>
      <c r="B47" s="111"/>
      <c r="C47" s="210"/>
      <c r="D47" s="41"/>
      <c r="E47" s="78"/>
    </row>
    <row r="48" spans="1:5" s="45" customFormat="1" ht="12">
      <c r="A48" s="63" t="s">
        <v>76</v>
      </c>
      <c r="B48" s="110">
        <f>SUM(B38:B46)</f>
        <v>8138230.334017538</v>
      </c>
      <c r="C48" s="210">
        <f t="shared" si="2"/>
        <v>6037.262859063456</v>
      </c>
      <c r="D48" s="41"/>
      <c r="E48" s="83"/>
    </row>
    <row r="49" spans="1:5" s="87" customFormat="1" ht="12">
      <c r="A49" s="63"/>
      <c r="B49" s="110"/>
      <c r="C49" s="210">
        <f t="shared" si="2"/>
        <v>0</v>
      </c>
      <c r="D49" s="43"/>
      <c r="E49" s="85"/>
    </row>
    <row r="50" spans="1:5" ht="12">
      <c r="A50" s="63"/>
      <c r="B50" s="110"/>
      <c r="C50" s="211"/>
      <c r="D50" s="43"/>
      <c r="E50" s="50"/>
    </row>
    <row r="51" spans="1:5" s="47" customFormat="1" ht="12">
      <c r="A51" s="15" t="s">
        <v>78</v>
      </c>
      <c r="B51" s="111"/>
      <c r="C51" s="211"/>
      <c r="D51" s="282" t="s">
        <v>287</v>
      </c>
      <c r="E51" s="80"/>
    </row>
    <row r="52" spans="1:5" s="47" customFormat="1" ht="12">
      <c r="A52" s="79" t="s">
        <v>6</v>
      </c>
      <c r="B52" s="111">
        <f>'TBLA Expense'!F66+'TBLA Expense'!M66</f>
        <v>48834.06082454695</v>
      </c>
      <c r="C52" s="210">
        <f aca="true" t="shared" si="3" ref="C52:C116">B52/$B$1</f>
        <v>36.22704808942652</v>
      </c>
      <c r="D52" s="41"/>
      <c r="E52" s="80"/>
    </row>
    <row r="53" spans="1:5" s="47" customFormat="1" ht="12">
      <c r="A53" s="79" t="s">
        <v>7</v>
      </c>
      <c r="B53" s="111">
        <f>'TBLA Expense'!F67+'TBLA Expense'!M67</f>
        <v>3281.856644975288</v>
      </c>
      <c r="C53" s="210">
        <f t="shared" si="3"/>
        <v>2.4346117544327064</v>
      </c>
      <c r="D53" s="41" t="s">
        <v>5</v>
      </c>
      <c r="E53" s="80"/>
    </row>
    <row r="54" spans="1:5" ht="12">
      <c r="A54" s="79" t="s">
        <v>8</v>
      </c>
      <c r="B54" s="111">
        <f>'TBLA Expense'!F68+'TBLA Expense'!M68</f>
        <v>0</v>
      </c>
      <c r="C54" s="210">
        <f t="shared" si="3"/>
        <v>0</v>
      </c>
      <c r="D54" s="41"/>
      <c r="E54" s="59"/>
    </row>
    <row r="55" spans="1:5" ht="12">
      <c r="A55" s="19" t="s">
        <v>9</v>
      </c>
      <c r="B55" s="111">
        <f>'TBLA Expense'!F69+'TBLA Expense'!M69</f>
        <v>18131.16506086049</v>
      </c>
      <c r="C55" s="210">
        <f t="shared" si="3"/>
        <v>13.450419184614606</v>
      </c>
      <c r="D55" s="41"/>
      <c r="E55" s="59"/>
    </row>
    <row r="56" spans="1:5" ht="12">
      <c r="A56" s="19" t="s">
        <v>10</v>
      </c>
      <c r="B56" s="111">
        <f>'TBLA Expense'!F70+'TBLA Expense'!M70</f>
        <v>0</v>
      </c>
      <c r="C56" s="210">
        <f t="shared" si="3"/>
        <v>0</v>
      </c>
      <c r="D56" s="81"/>
      <c r="E56" s="59"/>
    </row>
    <row r="57" spans="1:5" ht="12">
      <c r="A57" s="19" t="s">
        <v>11</v>
      </c>
      <c r="B57" s="111">
        <f>'TBLA Expense'!F71+'TBLA Expense'!M71</f>
        <v>75626.21107594937</v>
      </c>
      <c r="C57" s="210">
        <f t="shared" si="3"/>
        <v>56.102530471772525</v>
      </c>
      <c r="D57" s="41"/>
      <c r="E57" s="59"/>
    </row>
    <row r="58" spans="1:5" ht="12">
      <c r="A58" s="19" t="s">
        <v>44</v>
      </c>
      <c r="B58" s="111">
        <f>'TBLA Expense'!F72+'TBLA Expense'!M72</f>
        <v>118152.70192035256</v>
      </c>
      <c r="C58" s="210">
        <f t="shared" si="3"/>
        <v>87.65037234447519</v>
      </c>
      <c r="D58" s="41"/>
      <c r="E58" s="78"/>
    </row>
    <row r="59" spans="1:5" ht="12">
      <c r="A59" s="82" t="s">
        <v>12</v>
      </c>
      <c r="B59" s="111">
        <f>'TBLA Expense'!F73+'TBLA Expense'!M73</f>
        <v>26877.534299835253</v>
      </c>
      <c r="C59" s="210">
        <f t="shared" si="3"/>
        <v>19.93882366456621</v>
      </c>
      <c r="D59" s="41"/>
      <c r="E59" s="78"/>
    </row>
    <row r="60" spans="1:5" ht="12">
      <c r="A60" s="14" t="s">
        <v>66</v>
      </c>
      <c r="B60" s="111">
        <f>'TBLA Expense'!F74+'TBLA Expense'!M74</f>
        <v>124261.17493121908</v>
      </c>
      <c r="C60" s="210">
        <f t="shared" si="3"/>
        <v>92.1818805127738</v>
      </c>
      <c r="D60" s="41" t="s">
        <v>5</v>
      </c>
      <c r="E60" s="59"/>
    </row>
    <row r="61" spans="1:5" ht="12">
      <c r="A61" s="7" t="s">
        <v>47</v>
      </c>
      <c r="B61" s="111"/>
      <c r="C61" s="210">
        <f t="shared" si="3"/>
        <v>0</v>
      </c>
      <c r="D61" s="41"/>
      <c r="E61" s="59"/>
    </row>
    <row r="62" spans="1:5" ht="12">
      <c r="A62" s="7" t="s">
        <v>47</v>
      </c>
      <c r="B62" s="111"/>
      <c r="C62" s="210">
        <f t="shared" si="3"/>
        <v>0</v>
      </c>
      <c r="D62" s="41"/>
      <c r="E62" s="59"/>
    </row>
    <row r="63" spans="1:5" ht="12">
      <c r="A63" s="7" t="s">
        <v>47</v>
      </c>
      <c r="B63" s="111"/>
      <c r="C63" s="210">
        <f t="shared" si="3"/>
        <v>0</v>
      </c>
      <c r="D63" s="41"/>
      <c r="E63" s="59"/>
    </row>
    <row r="64" spans="1:5" ht="12">
      <c r="A64" s="7" t="s">
        <v>47</v>
      </c>
      <c r="B64" s="111"/>
      <c r="C64" s="210">
        <f t="shared" si="3"/>
        <v>0</v>
      </c>
      <c r="D64" s="41"/>
      <c r="E64" s="59"/>
    </row>
    <row r="65" spans="1:5" s="45" customFormat="1" ht="12">
      <c r="A65" s="20" t="s">
        <v>79</v>
      </c>
      <c r="B65" s="111">
        <f>SUM(B52:B64)</f>
        <v>415164.70475773903</v>
      </c>
      <c r="C65" s="210">
        <f t="shared" si="3"/>
        <v>307.9856860220616</v>
      </c>
      <c r="D65" s="41"/>
      <c r="E65" s="83"/>
    </row>
    <row r="66" spans="1:5" s="87" customFormat="1" ht="12">
      <c r="A66" s="63"/>
      <c r="B66" s="110">
        <f>'Combined '!F53-B65</f>
        <v>0</v>
      </c>
      <c r="C66" s="210">
        <f t="shared" si="3"/>
        <v>0</v>
      </c>
      <c r="D66" s="43"/>
      <c r="E66" s="85"/>
    </row>
    <row r="67" spans="1:5" ht="12">
      <c r="A67" s="63"/>
      <c r="B67" s="110"/>
      <c r="C67" s="210">
        <f t="shared" si="3"/>
        <v>0</v>
      </c>
      <c r="D67" s="43"/>
      <c r="E67" s="50"/>
    </row>
    <row r="68" spans="1:5" ht="12">
      <c r="A68" s="15" t="s">
        <v>45</v>
      </c>
      <c r="B68" s="112"/>
      <c r="C68" s="210">
        <f t="shared" si="3"/>
        <v>0</v>
      </c>
      <c r="D68" s="43"/>
      <c r="E68" s="59"/>
    </row>
    <row r="69" spans="1:5" ht="12">
      <c r="A69" s="7" t="s">
        <v>19</v>
      </c>
      <c r="B69" s="112">
        <f>'TBLA Expense'!F77+'TBLA Expense'!M77</f>
        <v>19800.890529818782</v>
      </c>
      <c r="C69" s="210">
        <f t="shared" si="3"/>
        <v>14.689087930132628</v>
      </c>
      <c r="D69" s="41"/>
      <c r="E69" s="59"/>
    </row>
    <row r="70" spans="1:5" ht="12">
      <c r="A70" s="7" t="s">
        <v>20</v>
      </c>
      <c r="B70" s="112">
        <f>'TBLA Expense'!F78+'TBLA Expense'!M78</f>
        <v>6685.720274958814</v>
      </c>
      <c r="C70" s="210">
        <f t="shared" si="3"/>
        <v>4.959733141660841</v>
      </c>
      <c r="D70" s="41"/>
      <c r="E70" s="78"/>
    </row>
    <row r="71" spans="1:5" ht="12">
      <c r="A71" s="14" t="s">
        <v>21</v>
      </c>
      <c r="B71" s="112">
        <f>'TBLA Expense'!F79+'TBLA Expense'!M79</f>
        <v>11917.71402191104</v>
      </c>
      <c r="C71" s="210">
        <f t="shared" si="3"/>
        <v>8.841034140883561</v>
      </c>
      <c r="D71" s="88"/>
      <c r="E71" s="78"/>
    </row>
    <row r="72" spans="1:5" ht="12">
      <c r="A72" s="7" t="s">
        <v>22</v>
      </c>
      <c r="B72" s="112">
        <f>'TBLA Expense'!F80+'TBLA Expense'!M80</f>
        <v>40038.57129250906</v>
      </c>
      <c r="C72" s="210">
        <f t="shared" si="3"/>
        <v>29.702204222929574</v>
      </c>
      <c r="D72" s="88"/>
      <c r="E72" s="59"/>
    </row>
    <row r="73" spans="1:5" ht="12">
      <c r="A73" s="7" t="s">
        <v>281</v>
      </c>
      <c r="B73" s="112">
        <f>'TBLA Expense'!F81+'TBLA Expense'!M81</f>
        <v>38854.738469851734</v>
      </c>
      <c r="C73" s="210">
        <f t="shared" si="3"/>
        <v>28.823989962798024</v>
      </c>
      <c r="D73" s="41"/>
      <c r="E73" s="59"/>
    </row>
    <row r="74" spans="1:5" ht="12">
      <c r="A74" s="7" t="s">
        <v>47</v>
      </c>
      <c r="B74" s="113"/>
      <c r="C74" s="210">
        <f t="shared" si="3"/>
        <v>0</v>
      </c>
      <c r="D74" s="41"/>
      <c r="E74" s="59"/>
    </row>
    <row r="75" spans="1:5" ht="12">
      <c r="A75" s="7" t="s">
        <v>47</v>
      </c>
      <c r="B75" s="113"/>
      <c r="C75" s="210">
        <f t="shared" si="3"/>
        <v>0</v>
      </c>
      <c r="D75" s="41"/>
      <c r="E75" s="59"/>
    </row>
    <row r="76" spans="1:5" ht="12">
      <c r="A76" s="7" t="s">
        <v>47</v>
      </c>
      <c r="B76" s="113"/>
      <c r="C76" s="210">
        <f t="shared" si="3"/>
        <v>0</v>
      </c>
      <c r="D76" s="41"/>
      <c r="E76" s="59"/>
    </row>
    <row r="77" spans="1:5" s="45" customFormat="1" ht="12">
      <c r="A77" s="20" t="s">
        <v>80</v>
      </c>
      <c r="B77" s="110">
        <f>SUM(B68:B76)</f>
        <v>117297.63458904944</v>
      </c>
      <c r="C77" s="210">
        <f t="shared" si="3"/>
        <v>87.01604939840463</v>
      </c>
      <c r="D77" s="41"/>
      <c r="E77" s="83"/>
    </row>
    <row r="78" spans="2:5" s="45" customFormat="1" ht="12">
      <c r="B78" s="110">
        <f>'Combined '!F60-B77</f>
        <v>0</v>
      </c>
      <c r="C78" s="210">
        <f t="shared" si="3"/>
        <v>0</v>
      </c>
      <c r="D78" s="43"/>
      <c r="E78" s="83"/>
    </row>
    <row r="79" spans="1:5" ht="12">
      <c r="A79" s="20"/>
      <c r="B79" s="110"/>
      <c r="C79" s="210">
        <f t="shared" si="3"/>
        <v>0</v>
      </c>
      <c r="D79" s="43"/>
      <c r="E79" s="50"/>
    </row>
    <row r="80" spans="1:5" ht="12">
      <c r="A80" s="15" t="s">
        <v>54</v>
      </c>
      <c r="B80" s="112"/>
      <c r="C80" s="210">
        <f t="shared" si="3"/>
        <v>0</v>
      </c>
      <c r="D80" s="43"/>
      <c r="E80" s="89"/>
    </row>
    <row r="81" spans="1:5" ht="12">
      <c r="A81" s="14" t="s">
        <v>55</v>
      </c>
      <c r="B81" s="112"/>
      <c r="C81" s="210">
        <f t="shared" si="3"/>
        <v>0</v>
      </c>
      <c r="D81" s="41" t="s">
        <v>5</v>
      </c>
      <c r="E81" s="78"/>
    </row>
    <row r="82" spans="1:5" ht="12">
      <c r="A82" s="14" t="s">
        <v>13</v>
      </c>
      <c r="B82" s="112"/>
      <c r="C82" s="210">
        <f t="shared" si="3"/>
        <v>0</v>
      </c>
      <c r="D82" s="41"/>
      <c r="E82" s="78"/>
    </row>
    <row r="83" spans="1:5" ht="12">
      <c r="A83" s="14" t="s">
        <v>14</v>
      </c>
      <c r="B83" s="113"/>
      <c r="C83" s="210">
        <f t="shared" si="3"/>
        <v>0</v>
      </c>
      <c r="D83" s="41"/>
      <c r="E83" s="59"/>
    </row>
    <row r="84" spans="1:5" ht="12">
      <c r="A84" s="7" t="s">
        <v>47</v>
      </c>
      <c r="B84" s="113"/>
      <c r="C84" s="210">
        <f t="shared" si="3"/>
        <v>0</v>
      </c>
      <c r="D84" s="41"/>
      <c r="E84" s="59"/>
    </row>
    <row r="85" spans="1:5" ht="12">
      <c r="A85" s="7" t="s">
        <v>47</v>
      </c>
      <c r="B85" s="113"/>
      <c r="C85" s="210">
        <f t="shared" si="3"/>
        <v>0</v>
      </c>
      <c r="D85" s="41"/>
      <c r="E85" s="59"/>
    </row>
    <row r="86" spans="1:5" ht="12">
      <c r="A86" s="7" t="s">
        <v>47</v>
      </c>
      <c r="B86" s="113"/>
      <c r="C86" s="210">
        <f t="shared" si="3"/>
        <v>0</v>
      </c>
      <c r="D86" s="41"/>
      <c r="E86" s="59"/>
    </row>
    <row r="87" spans="1:5" ht="12">
      <c r="A87" s="7" t="s">
        <v>47</v>
      </c>
      <c r="B87" s="113"/>
      <c r="C87" s="210">
        <f t="shared" si="3"/>
        <v>0</v>
      </c>
      <c r="D87" s="41"/>
      <c r="E87" s="59"/>
    </row>
    <row r="88" spans="1:5" s="45" customFormat="1" ht="12">
      <c r="A88" s="20" t="s">
        <v>81</v>
      </c>
      <c r="B88" s="110">
        <f>SUM(B80:B87)</f>
        <v>0</v>
      </c>
      <c r="C88" s="210">
        <f t="shared" si="3"/>
        <v>0</v>
      </c>
      <c r="D88" s="41"/>
      <c r="E88" s="83"/>
    </row>
    <row r="89" spans="1:5" s="45" customFormat="1" ht="12">
      <c r="A89" s="20"/>
      <c r="B89" s="110"/>
      <c r="C89" s="210">
        <f t="shared" si="3"/>
        <v>0</v>
      </c>
      <c r="D89" s="43"/>
      <c r="E89" s="83"/>
    </row>
    <row r="90" spans="1:5" ht="12">
      <c r="A90" s="20"/>
      <c r="B90" s="110"/>
      <c r="C90" s="210">
        <f t="shared" si="3"/>
        <v>0</v>
      </c>
      <c r="D90" s="43"/>
      <c r="E90" s="50"/>
    </row>
    <row r="91" spans="1:5" ht="12">
      <c r="A91" s="15" t="s">
        <v>46</v>
      </c>
      <c r="B91" s="112"/>
      <c r="C91" s="210">
        <f t="shared" si="3"/>
        <v>0</v>
      </c>
      <c r="D91" s="43"/>
      <c r="E91" s="78"/>
    </row>
    <row r="92" spans="1:5" ht="12">
      <c r="A92" s="14" t="s">
        <v>15</v>
      </c>
      <c r="B92" s="112">
        <f>'TBLA Expense'!F90+'TBLA Expense'!M90</f>
        <v>5151.505</v>
      </c>
      <c r="C92" s="210">
        <f t="shared" si="3"/>
        <v>3.8215912462908013</v>
      </c>
      <c r="D92" s="41"/>
      <c r="E92" s="78"/>
    </row>
    <row r="93" spans="1:5" ht="12">
      <c r="A93" s="23" t="s">
        <v>148</v>
      </c>
      <c r="B93" s="112">
        <f>'TBLA Expense'!F91+'TBLA Expense'!M91</f>
        <v>21686.805749</v>
      </c>
      <c r="C93" s="210">
        <f t="shared" si="3"/>
        <v>16.088134828635013</v>
      </c>
      <c r="D93" s="41" t="s">
        <v>5</v>
      </c>
      <c r="E93" s="78"/>
    </row>
    <row r="94" spans="1:5" ht="12">
      <c r="A94" s="14" t="s">
        <v>16</v>
      </c>
      <c r="B94" s="112">
        <f>'TBLA Expense'!F92+'TBLA Expense'!M92</f>
        <v>41624.3664602</v>
      </c>
      <c r="C94" s="210">
        <f t="shared" si="3"/>
        <v>30.878610133679526</v>
      </c>
      <c r="D94" s="41"/>
      <c r="E94" s="78"/>
    </row>
    <row r="95" spans="1:5" ht="12">
      <c r="A95" s="14" t="s">
        <v>17</v>
      </c>
      <c r="B95" s="112">
        <f>'TBLA Expense'!F93+'TBLA Expense'!M93</f>
        <v>50400.264318</v>
      </c>
      <c r="C95" s="210">
        <f t="shared" si="3"/>
        <v>37.38892011721068</v>
      </c>
      <c r="D95" s="41"/>
      <c r="E95" s="78"/>
    </row>
    <row r="96" spans="1:5" ht="12">
      <c r="A96" s="14" t="s">
        <v>18</v>
      </c>
      <c r="B96" s="112">
        <f>'TBLA Expense'!F94+'TBLA Expense'!M94</f>
        <v>24212.073500000002</v>
      </c>
      <c r="C96" s="210">
        <f t="shared" si="3"/>
        <v>17.961478857566767</v>
      </c>
      <c r="D96" s="41"/>
      <c r="E96" s="59"/>
    </row>
    <row r="97" spans="1:5" ht="12">
      <c r="A97" s="7" t="s">
        <v>26</v>
      </c>
      <c r="B97" s="112">
        <f>'TBLA Expense'!F95+'TBLA Expense'!M95</f>
        <v>15649.388194188337</v>
      </c>
      <c r="C97" s="210">
        <f t="shared" si="3"/>
        <v>11.609338422988381</v>
      </c>
      <c r="D97" s="41" t="s">
        <v>5</v>
      </c>
      <c r="E97" s="78"/>
    </row>
    <row r="98" spans="1:5" ht="12">
      <c r="A98" s="14" t="s">
        <v>23</v>
      </c>
      <c r="B98" s="112">
        <f>'TBLA Expense'!F96+'TBLA Expense'!M96</f>
        <v>60993.8192</v>
      </c>
      <c r="C98" s="210">
        <f t="shared" si="3"/>
        <v>45.24764035608308</v>
      </c>
      <c r="D98" s="41"/>
      <c r="E98" s="78"/>
    </row>
    <row r="99" spans="1:5" ht="12">
      <c r="A99" s="14" t="s">
        <v>24</v>
      </c>
      <c r="B99" s="112">
        <f>'TBLA Expense'!F97+'TBLA Expense'!M97</f>
        <v>36163.56510000001</v>
      </c>
      <c r="C99" s="210">
        <f t="shared" si="3"/>
        <v>26.82757054896143</v>
      </c>
      <c r="D99" s="41"/>
      <c r="E99" s="78"/>
    </row>
    <row r="100" spans="1:5" ht="24">
      <c r="A100" s="23" t="s">
        <v>113</v>
      </c>
      <c r="B100" s="112">
        <f>'TBLA Expense'!F98+'TBLA Expense'!M98</f>
        <v>126289.14507500001</v>
      </c>
      <c r="C100" s="210">
        <f t="shared" si="3"/>
        <v>93.68630940281899</v>
      </c>
      <c r="D100" s="41"/>
      <c r="E100" s="59"/>
    </row>
    <row r="101" spans="1:5" ht="12">
      <c r="A101" s="7" t="s">
        <v>30</v>
      </c>
      <c r="B101" s="112">
        <f>'TBLA Expense'!F99+'TBLA Expense'!M99</f>
        <v>1699.99665</v>
      </c>
      <c r="C101" s="210">
        <f t="shared" si="3"/>
        <v>1.2611251112759645</v>
      </c>
      <c r="D101" s="41"/>
      <c r="E101" s="59"/>
    </row>
    <row r="102" spans="1:5" ht="12">
      <c r="A102" s="7" t="s">
        <v>31</v>
      </c>
      <c r="B102" s="112">
        <f>'TBLA Expense'!F100+'TBLA Expense'!M100</f>
        <v>6310.5936249999995</v>
      </c>
      <c r="C102" s="210">
        <f t="shared" si="3"/>
        <v>4.681449276706231</v>
      </c>
      <c r="D102" s="41"/>
      <c r="E102" s="59"/>
    </row>
    <row r="103" spans="1:5" ht="12">
      <c r="A103" s="51" t="s">
        <v>102</v>
      </c>
      <c r="B103" s="112">
        <f>'TBLA Expense'!F101+'TBLA Expense'!M101</f>
        <v>67484.71549999999</v>
      </c>
      <c r="C103" s="210">
        <f t="shared" si="3"/>
        <v>50.06284532640949</v>
      </c>
      <c r="D103" s="52"/>
      <c r="E103" s="59"/>
    </row>
    <row r="104" spans="1:5" ht="12">
      <c r="A104" s="51" t="s">
        <v>48</v>
      </c>
      <c r="B104" s="112">
        <f>'TBLA Expense'!F102+'TBLA Expense'!M102</f>
        <v>29045.417999999998</v>
      </c>
      <c r="C104" s="210">
        <f t="shared" si="3"/>
        <v>21.54704599406528</v>
      </c>
      <c r="D104" s="52"/>
      <c r="E104" s="59"/>
    </row>
    <row r="105" spans="1:5" ht="12">
      <c r="A105" s="51" t="s">
        <v>27</v>
      </c>
      <c r="B105" s="112">
        <f>'TBLA Expense'!F103+'TBLA Expense'!M103</f>
        <v>751275.4602843493</v>
      </c>
      <c r="C105" s="210">
        <f t="shared" si="3"/>
        <v>557.3260091130187</v>
      </c>
      <c r="D105" s="52"/>
      <c r="E105" s="59"/>
    </row>
    <row r="106" spans="1:5" ht="12">
      <c r="A106" s="51" t="s">
        <v>28</v>
      </c>
      <c r="B106" s="112">
        <f>'TBLA Expense'!F104+'TBLA Expense'!M104</f>
        <v>118690.6752</v>
      </c>
      <c r="C106" s="210">
        <f t="shared" si="3"/>
        <v>88.04946231454005</v>
      </c>
      <c r="D106" s="52"/>
      <c r="E106" s="59"/>
    </row>
    <row r="107" spans="1:5" ht="12">
      <c r="A107" s="96" t="s">
        <v>153</v>
      </c>
      <c r="B107" s="114"/>
      <c r="C107" s="210">
        <f t="shared" si="3"/>
        <v>0</v>
      </c>
      <c r="D107" s="52"/>
      <c r="E107" s="59"/>
    </row>
    <row r="108" spans="1:5" ht="12">
      <c r="A108" s="51" t="s">
        <v>271</v>
      </c>
      <c r="B108" s="114">
        <f>'TBLA Expense'!F106+'TBLA Expense'!M106</f>
        <v>17893.599005901153</v>
      </c>
      <c r="C108" s="210">
        <f t="shared" si="3"/>
        <v>13.274183238799075</v>
      </c>
      <c r="D108" s="52"/>
      <c r="E108" s="59"/>
    </row>
    <row r="109" spans="1:5" ht="12">
      <c r="A109" s="51" t="s">
        <v>272</v>
      </c>
      <c r="B109" s="114">
        <f>'TBLA Expense'!F107+'TBLA Expense'!M107</f>
        <v>12676.131154046026</v>
      </c>
      <c r="C109" s="210">
        <f t="shared" si="3"/>
        <v>9.403658126146905</v>
      </c>
      <c r="D109" s="52"/>
      <c r="E109" s="59"/>
    </row>
    <row r="110" spans="1:5" ht="12">
      <c r="A110" s="51" t="s">
        <v>274</v>
      </c>
      <c r="B110" s="114">
        <f>'TBLA Expense'!F108+'TBLA Expense'!M108+'TBLA Expense'!M110+'TBLA Expense'!M111+'TBLA Expense'!F111+'TBLA Expense'!F110+'TBLA Expense'!F105+'TBLA Expense'!M105</f>
        <v>29646.289067378</v>
      </c>
      <c r="C110" s="210">
        <f t="shared" si="3"/>
        <v>21.99279604404896</v>
      </c>
      <c r="D110" s="52"/>
      <c r="E110" s="59"/>
    </row>
    <row r="111" spans="1:5" ht="12">
      <c r="A111" s="51" t="s">
        <v>273</v>
      </c>
      <c r="B111" s="115">
        <f>'TBLA Expense'!F109+'TBLA Expense'!M109</f>
        <v>145159.45075787808</v>
      </c>
      <c r="C111" s="210"/>
      <c r="D111" s="52"/>
      <c r="E111" s="59"/>
    </row>
    <row r="112" spans="1:5" s="45" customFormat="1" ht="12">
      <c r="A112" s="20" t="s">
        <v>82</v>
      </c>
      <c r="B112" s="110">
        <f>SUM(B92:B111)</f>
        <v>1562053.261840941</v>
      </c>
      <c r="C112" s="210">
        <f t="shared" si="3"/>
        <v>1158.7932209502528</v>
      </c>
      <c r="D112" s="53"/>
      <c r="E112" s="83"/>
    </row>
    <row r="113" spans="1:5" s="47" customFormat="1" ht="12">
      <c r="A113" s="94"/>
      <c r="B113" s="110">
        <f>'Combined '!F89-B112</f>
        <v>0</v>
      </c>
      <c r="C113" s="210">
        <f t="shared" si="3"/>
        <v>0</v>
      </c>
      <c r="D113" s="43"/>
      <c r="E113" s="76"/>
    </row>
    <row r="114" spans="1:5" ht="12">
      <c r="A114" s="94"/>
      <c r="B114" s="110"/>
      <c r="C114" s="210">
        <f t="shared" si="3"/>
        <v>0</v>
      </c>
      <c r="D114" s="42"/>
      <c r="E114" s="59"/>
    </row>
    <row r="115" spans="1:5" ht="12">
      <c r="A115" s="94" t="s">
        <v>32</v>
      </c>
      <c r="B115" s="115"/>
      <c r="C115" s="210">
        <f t="shared" si="3"/>
        <v>0</v>
      </c>
      <c r="D115" s="42"/>
      <c r="E115" s="59"/>
    </row>
    <row r="116" spans="1:5" ht="12">
      <c r="A116" s="51" t="s">
        <v>33</v>
      </c>
      <c r="B116" s="115">
        <f>'TBLA Expense'!F115+'TBLA Expense'!M115</f>
        <v>299524.98551599996</v>
      </c>
      <c r="C116" s="210">
        <f t="shared" si="3"/>
        <v>222.1995441513353</v>
      </c>
      <c r="D116" s="52" t="s">
        <v>5</v>
      </c>
      <c r="E116" s="59"/>
    </row>
    <row r="117" spans="1:5" ht="12">
      <c r="A117" s="149" t="s">
        <v>154</v>
      </c>
      <c r="B117" s="115">
        <f>'TBLA Expense'!F116+'TBLA Expense'!M116</f>
        <v>53267.58011943987</v>
      </c>
      <c r="C117" s="210">
        <f aca="true" t="shared" si="4" ref="C117:C141">B117/$B$1</f>
        <v>39.516008990682394</v>
      </c>
      <c r="D117" s="52"/>
      <c r="E117" s="59"/>
    </row>
    <row r="118" spans="1:5" ht="12">
      <c r="A118" s="91" t="s">
        <v>34</v>
      </c>
      <c r="B118" s="115">
        <f>'TBLA Expense'!F117+'TBLA Expense'!M117</f>
        <v>205824.2661630972</v>
      </c>
      <c r="C118" s="210">
        <f t="shared" si="4"/>
        <v>152.6886247500721</v>
      </c>
      <c r="D118" s="52" t="s">
        <v>5</v>
      </c>
      <c r="E118" s="59"/>
    </row>
    <row r="119" spans="1:5" ht="12">
      <c r="A119" s="51" t="s">
        <v>105</v>
      </c>
      <c r="B119" s="115">
        <f>'TBLA Expense'!F118+'TBLA Expense'!M118</f>
        <v>40551.76472981878</v>
      </c>
      <c r="C119" s="210">
        <f t="shared" si="4"/>
        <v>30.082911520637076</v>
      </c>
      <c r="D119" s="52"/>
      <c r="E119" s="78"/>
    </row>
    <row r="120" spans="1:5" ht="12">
      <c r="A120" s="54" t="s">
        <v>35</v>
      </c>
      <c r="B120" s="115">
        <f>'TBLA Expense'!F119+'TBLA Expense'!M119</f>
        <v>22972.99651482702</v>
      </c>
      <c r="C120" s="210">
        <f t="shared" si="4"/>
        <v>17.042282281028946</v>
      </c>
      <c r="D120" s="52"/>
      <c r="E120" s="78"/>
    </row>
    <row r="121" spans="1:5" ht="12">
      <c r="A121" s="54" t="s">
        <v>36</v>
      </c>
      <c r="B121" s="115">
        <f>'TBLA Expense'!F120+'TBLA Expense'!M120</f>
        <v>125458.09020026444</v>
      </c>
      <c r="C121" s="210">
        <f t="shared" si="4"/>
        <v>93.06979985182822</v>
      </c>
      <c r="D121" s="52"/>
      <c r="E121" s="59"/>
    </row>
    <row r="122" spans="1:5" ht="12">
      <c r="A122" s="51" t="s">
        <v>25</v>
      </c>
      <c r="B122" s="115">
        <f>'TBLA Expense'!F121+'TBLA Expense'!M121</f>
        <v>63709.77410955519</v>
      </c>
      <c r="C122" s="210">
        <f t="shared" si="4"/>
        <v>47.26244370145044</v>
      </c>
      <c r="D122" s="52"/>
      <c r="E122" s="59"/>
    </row>
    <row r="123" spans="1:5" ht="12">
      <c r="A123" s="51" t="s">
        <v>29</v>
      </c>
      <c r="B123" s="115">
        <f>'TBLA Expense'!F122+'TBLA Expense'!M122</f>
        <v>48875.40016697694</v>
      </c>
      <c r="C123" s="210">
        <f t="shared" si="4"/>
        <v>36.257715257401294</v>
      </c>
      <c r="D123" s="52"/>
      <c r="E123" s="59"/>
    </row>
    <row r="124" spans="1:5" ht="12">
      <c r="A124" s="96" t="s">
        <v>155</v>
      </c>
      <c r="B124" s="115">
        <f>'TBLA Expense'!F85+'TBLA Expense'!M85</f>
        <v>1191869.3435585422</v>
      </c>
      <c r="C124" s="210">
        <f t="shared" si="4"/>
        <v>884.1760708891262</v>
      </c>
      <c r="D124" s="52"/>
      <c r="E124" s="59"/>
    </row>
    <row r="125" spans="1:5" ht="12">
      <c r="A125" s="51" t="s">
        <v>276</v>
      </c>
      <c r="B125" s="115">
        <f>'TBLA Expense'!G84+'TBLA Expense'!G86+'TBLA Expense'!N84+'TBLA Expense'!N86</f>
        <v>282397</v>
      </c>
      <c r="C125" s="210">
        <f t="shared" si="4"/>
        <v>209.4933234421365</v>
      </c>
      <c r="D125" s="52"/>
      <c r="E125" s="59"/>
    </row>
    <row r="126" spans="1:5" ht="12">
      <c r="A126" s="51" t="s">
        <v>275</v>
      </c>
      <c r="B126" s="115">
        <f>'TBLA Expense'!F124+'TBLA Expense'!M124</f>
        <v>88152.68934925865</v>
      </c>
      <c r="C126" s="210">
        <f t="shared" si="4"/>
        <v>65.3951701403996</v>
      </c>
      <c r="D126" s="52"/>
      <c r="E126" s="59"/>
    </row>
    <row r="127" spans="1:5" ht="12">
      <c r="A127" s="51" t="s">
        <v>277</v>
      </c>
      <c r="B127" s="115">
        <f>'TBLA Expense'!F123+'TBLA Expense'!M123</f>
        <v>16484.816</v>
      </c>
      <c r="C127" s="210">
        <f t="shared" si="4"/>
        <v>12.229091988130563</v>
      </c>
      <c r="D127" s="52"/>
      <c r="E127" s="59"/>
    </row>
    <row r="128" spans="1:5" ht="12">
      <c r="A128" s="20" t="s">
        <v>37</v>
      </c>
      <c r="B128" s="110">
        <f>SUM(B115:B127)</f>
        <v>2439088.7064277804</v>
      </c>
      <c r="C128" s="210">
        <f t="shared" si="4"/>
        <v>1809.4129869642288</v>
      </c>
      <c r="D128" s="52"/>
      <c r="E128" s="59"/>
    </row>
    <row r="129" spans="1:5" s="47" customFormat="1" ht="12">
      <c r="A129" s="20"/>
      <c r="B129" s="110">
        <f>B128-'Combined '!F101-'Combined '!F65</f>
        <v>0</v>
      </c>
      <c r="C129" s="210">
        <f t="shared" si="4"/>
        <v>0</v>
      </c>
      <c r="D129" s="43"/>
      <c r="E129" s="76"/>
    </row>
    <row r="130" spans="1:5" ht="12">
      <c r="A130" s="63"/>
      <c r="B130" s="116"/>
      <c r="C130" s="210">
        <f t="shared" si="4"/>
        <v>0</v>
      </c>
      <c r="D130" s="43"/>
      <c r="E130" s="59"/>
    </row>
    <row r="131" spans="1:5" s="47" customFormat="1" ht="12">
      <c r="A131" s="17" t="s">
        <v>83</v>
      </c>
      <c r="B131" s="117"/>
      <c r="C131" s="210">
        <f t="shared" si="4"/>
        <v>0</v>
      </c>
      <c r="D131" s="42"/>
      <c r="E131" s="76"/>
    </row>
    <row r="132" spans="1:5" s="47" customFormat="1" ht="12">
      <c r="A132" s="96" t="s">
        <v>85</v>
      </c>
      <c r="B132" s="117">
        <f>'TBLA Expense'!M127+'TBLA Expense'!M128+'TBLA Expense'!F128+'TBLA Expense'!F127</f>
        <v>0</v>
      </c>
      <c r="C132" s="210">
        <f t="shared" si="4"/>
        <v>0</v>
      </c>
      <c r="D132" s="95"/>
      <c r="E132" s="76"/>
    </row>
    <row r="133" spans="1:5" s="47" customFormat="1" ht="12">
      <c r="A133" s="96" t="s">
        <v>111</v>
      </c>
      <c r="B133" s="117">
        <f>'TBLA Expense'!M129+'TBLA Expense'!F129</f>
        <v>91513.47874794068</v>
      </c>
      <c r="C133" s="210">
        <f t="shared" si="4"/>
        <v>67.88833735010436</v>
      </c>
      <c r="D133" s="79" t="s">
        <v>279</v>
      </c>
      <c r="E133" s="76"/>
    </row>
    <row r="134" spans="1:5" s="47" customFormat="1" ht="12">
      <c r="A134" s="96" t="s">
        <v>84</v>
      </c>
      <c r="B134" s="117">
        <f>'TBLA Expense'!M130+'TBLA Expense'!F130</f>
        <v>500000</v>
      </c>
      <c r="C134" s="210">
        <f t="shared" si="4"/>
        <v>370.919881305638</v>
      </c>
      <c r="D134" s="95"/>
      <c r="E134" s="76"/>
    </row>
    <row r="135" spans="1:5" s="56" customFormat="1" ht="24">
      <c r="A135" s="23" t="s">
        <v>169</v>
      </c>
      <c r="B135" s="111"/>
      <c r="C135" s="210">
        <f t="shared" si="4"/>
        <v>0</v>
      </c>
      <c r="D135" s="95"/>
      <c r="E135" s="57"/>
    </row>
    <row r="136" spans="1:5" ht="12">
      <c r="A136" s="96" t="s">
        <v>167</v>
      </c>
      <c r="B136" s="109"/>
      <c r="C136" s="210">
        <f t="shared" si="4"/>
        <v>0</v>
      </c>
      <c r="D136" s="95"/>
      <c r="E136" s="59"/>
    </row>
    <row r="137" spans="1:5" ht="12">
      <c r="A137" s="51" t="s">
        <v>47</v>
      </c>
      <c r="B137" s="109"/>
      <c r="C137" s="210">
        <f t="shared" si="4"/>
        <v>0</v>
      </c>
      <c r="D137" s="41"/>
      <c r="E137" s="59"/>
    </row>
    <row r="138" spans="1:5" ht="12">
      <c r="A138" s="20" t="s">
        <v>38</v>
      </c>
      <c r="B138" s="110">
        <f>SUM(B131:B137)</f>
        <v>591513.4787479406</v>
      </c>
      <c r="C138" s="210">
        <f t="shared" si="4"/>
        <v>438.8082186557423</v>
      </c>
      <c r="D138" s="41"/>
      <c r="E138" s="59"/>
    </row>
    <row r="139" spans="1:5" ht="12">
      <c r="A139" s="20"/>
      <c r="B139" s="110">
        <f>'Combined '!F106-B138</f>
        <v>0</v>
      </c>
      <c r="C139" s="210">
        <f t="shared" si="4"/>
        <v>0</v>
      </c>
      <c r="D139" s="43"/>
      <c r="E139" s="59"/>
    </row>
    <row r="140" spans="1:5" ht="12">
      <c r="A140" s="20" t="s">
        <v>39</v>
      </c>
      <c r="B140" s="110">
        <f>B138+B128+B112+B88+B77+B65+B48</f>
        <v>13263348.120380988</v>
      </c>
      <c r="C140" s="210">
        <f t="shared" si="4"/>
        <v>9839.279021054146</v>
      </c>
      <c r="D140" s="43"/>
      <c r="E140" s="59"/>
    </row>
    <row r="141" spans="1:5" ht="12">
      <c r="A141" s="20"/>
      <c r="B141" s="118"/>
      <c r="C141" s="210">
        <f t="shared" si="4"/>
        <v>0</v>
      </c>
      <c r="D141" s="43"/>
      <c r="E141" s="59"/>
    </row>
    <row r="142" spans="1:5" s="47" customFormat="1" ht="12">
      <c r="A142" s="130"/>
      <c r="E142" s="76"/>
    </row>
    <row r="143" spans="1:4" ht="12">
      <c r="A143" s="129" t="s">
        <v>87</v>
      </c>
      <c r="B143" s="118">
        <f>B34-B140</f>
        <v>54572.56001440063</v>
      </c>
      <c r="C143" s="210">
        <f>B143/$B$1</f>
        <v>40.48409496617258</v>
      </c>
      <c r="D143" s="92"/>
    </row>
    <row r="144" spans="2:4" ht="12">
      <c r="B144" s="119">
        <f>B143-'Combined '!F110</f>
        <v>-1.862645149230957E-09</v>
      </c>
      <c r="C144" s="210">
        <f>B144/$B$1</f>
        <v>-1.381784235334538E-12</v>
      </c>
      <c r="D144" s="92"/>
    </row>
  </sheetData>
  <sheetProtection/>
  <mergeCells count="1">
    <mergeCell ref="A3:D3"/>
  </mergeCells>
  <printOptions/>
  <pageMargins left="0.7" right="0.7" top="0.75" bottom="0.75" header="0.3" footer="0.3"/>
  <pageSetup horizontalDpi="1200" verticalDpi="1200" orientation="portrait" scale="91"/>
</worksheet>
</file>

<file path=xl/worksheets/sheet11.xml><?xml version="1.0" encoding="utf-8"?>
<worksheet xmlns="http://schemas.openxmlformats.org/spreadsheetml/2006/main" xmlns:r="http://schemas.openxmlformats.org/officeDocument/2006/relationships">
  <sheetPr>
    <tabColor rgb="FF00B050"/>
  </sheetPr>
  <dimension ref="A1:AC60"/>
  <sheetViews>
    <sheetView workbookViewId="0" topLeftCell="A1">
      <selection activeCell="A1" sqref="A1:F1"/>
    </sheetView>
  </sheetViews>
  <sheetFormatPr defaultColWidth="15.7109375" defaultRowHeight="15"/>
  <cols>
    <col min="1" max="1" width="33.140625" style="48" customWidth="1"/>
    <col min="2" max="2" width="14.421875" style="48" customWidth="1"/>
    <col min="3" max="5" width="15.7109375" style="48" customWidth="1"/>
    <col min="6" max="6" width="15.7109375" style="45" customWidth="1"/>
    <col min="7" max="10" width="15.7109375" style="45" hidden="1" customWidth="1"/>
    <col min="11" max="29" width="15.7109375" style="45" customWidth="1"/>
    <col min="30" max="16384" width="15.7109375" style="48" customWidth="1"/>
  </cols>
  <sheetData>
    <row r="1" spans="1:6" ht="18" customHeight="1">
      <c r="A1" s="301" t="s">
        <v>109</v>
      </c>
      <c r="B1" s="301"/>
      <c r="C1" s="301"/>
      <c r="D1" s="301"/>
      <c r="E1" s="301"/>
      <c r="F1" s="301"/>
    </row>
    <row r="2" spans="1:29" s="4" customFormat="1" ht="48" customHeight="1">
      <c r="A2" s="302"/>
      <c r="B2" s="302"/>
      <c r="C2" s="302"/>
      <c r="D2" s="302"/>
      <c r="E2" s="302"/>
      <c r="F2" s="302"/>
      <c r="G2" s="3"/>
      <c r="H2" s="3"/>
      <c r="I2" s="3"/>
      <c r="J2" s="3"/>
      <c r="K2" s="3"/>
      <c r="L2" s="3"/>
      <c r="M2" s="3"/>
      <c r="N2" s="3"/>
      <c r="O2" s="3"/>
      <c r="P2" s="3"/>
      <c r="Q2" s="3"/>
      <c r="R2" s="3"/>
      <c r="S2" s="3"/>
      <c r="T2" s="3"/>
      <c r="U2" s="3"/>
      <c r="V2" s="3"/>
      <c r="W2" s="3"/>
      <c r="X2" s="3"/>
      <c r="Y2" s="3"/>
      <c r="Z2" s="3"/>
      <c r="AA2" s="3"/>
      <c r="AB2" s="3"/>
      <c r="AC2" s="3"/>
    </row>
    <row r="3" spans="1:29" s="6" customFormat="1" ht="12.75" thickBot="1">
      <c r="A3" s="5"/>
      <c r="B3" s="3"/>
      <c r="C3" s="3"/>
      <c r="D3" s="3"/>
      <c r="E3" s="3"/>
      <c r="F3" s="3"/>
      <c r="G3" s="3"/>
      <c r="H3" s="3"/>
      <c r="I3" s="3"/>
      <c r="J3" s="3"/>
      <c r="K3" s="3"/>
      <c r="L3" s="3"/>
      <c r="M3" s="3"/>
      <c r="N3" s="3"/>
      <c r="O3" s="3"/>
      <c r="P3" s="3"/>
      <c r="Q3" s="3"/>
      <c r="R3" s="3"/>
      <c r="S3" s="3"/>
      <c r="T3" s="3"/>
      <c r="U3" s="3"/>
      <c r="V3" s="3"/>
      <c r="W3" s="3"/>
      <c r="X3" s="3"/>
      <c r="Y3" s="3"/>
      <c r="Z3" s="3"/>
      <c r="AA3" s="3"/>
      <c r="AB3" s="3"/>
      <c r="AC3" s="3"/>
    </row>
    <row r="4" spans="1:29" s="6" customFormat="1" ht="17.25" customHeight="1" thickBot="1">
      <c r="A4" s="303" t="s">
        <v>57</v>
      </c>
      <c r="B4" s="304"/>
      <c r="C4" s="304"/>
      <c r="D4" s="304"/>
      <c r="E4" s="304"/>
      <c r="F4" s="305"/>
      <c r="G4" s="3"/>
      <c r="H4" s="3"/>
      <c r="I4" s="3"/>
      <c r="J4" s="3"/>
      <c r="K4" s="3"/>
      <c r="L4" s="3"/>
      <c r="M4" s="3"/>
      <c r="N4" s="3"/>
      <c r="O4" s="3"/>
      <c r="P4" s="3"/>
      <c r="Q4" s="3"/>
      <c r="R4" s="3"/>
      <c r="S4" s="3"/>
      <c r="T4" s="3"/>
      <c r="U4" s="3"/>
      <c r="V4" s="3"/>
      <c r="W4" s="3"/>
      <c r="X4" s="3"/>
      <c r="Y4" s="3"/>
      <c r="Z4" s="3"/>
      <c r="AA4" s="3"/>
      <c r="AB4" s="3"/>
      <c r="AC4" s="3"/>
    </row>
    <row r="5" spans="1:28" s="6" customFormat="1" ht="50.25" customHeight="1" thickBot="1">
      <c r="A5" s="303" t="s">
        <v>280</v>
      </c>
      <c r="B5" s="304"/>
      <c r="C5" s="304"/>
      <c r="D5" s="304"/>
      <c r="E5" s="304"/>
      <c r="F5" s="305"/>
      <c r="G5" s="3">
        <f>'Staffing Year 3'!G5</f>
        <v>0.28</v>
      </c>
      <c r="H5" s="3"/>
      <c r="I5" s="3"/>
      <c r="J5" s="3"/>
      <c r="K5" s="3"/>
      <c r="L5" s="3"/>
      <c r="M5" s="3"/>
      <c r="N5" s="3"/>
      <c r="O5" s="3"/>
      <c r="P5" s="3"/>
      <c r="Q5" s="3"/>
      <c r="R5" s="3"/>
      <c r="S5" s="3"/>
      <c r="T5" s="3"/>
      <c r="U5" s="3"/>
      <c r="V5" s="3"/>
      <c r="W5" s="3"/>
      <c r="X5" s="3"/>
      <c r="Y5" s="3"/>
      <c r="Z5" s="3"/>
      <c r="AA5" s="3"/>
      <c r="AB5" s="3"/>
    </row>
    <row r="6" spans="1:28" s="4" customFormat="1" ht="27" customHeight="1" thickBot="1">
      <c r="A6" s="21" t="s">
        <v>68</v>
      </c>
      <c r="B6" s="21" t="s">
        <v>71</v>
      </c>
      <c r="C6" s="21" t="s">
        <v>72</v>
      </c>
      <c r="D6" s="67" t="s">
        <v>69</v>
      </c>
      <c r="E6" s="21" t="s">
        <v>67</v>
      </c>
      <c r="F6" s="21" t="s">
        <v>70</v>
      </c>
      <c r="G6" s="3"/>
      <c r="H6" s="3"/>
      <c r="I6" s="3"/>
      <c r="J6" s="3"/>
      <c r="K6" s="3"/>
      <c r="L6" s="3"/>
      <c r="M6" s="3"/>
      <c r="N6" s="3"/>
      <c r="O6" s="3"/>
      <c r="P6" s="3"/>
      <c r="Q6" s="3"/>
      <c r="R6" s="3"/>
      <c r="S6" s="3"/>
      <c r="T6" s="3"/>
      <c r="U6" s="3"/>
      <c r="V6" s="3"/>
      <c r="W6" s="3"/>
      <c r="X6" s="3"/>
      <c r="Y6" s="3"/>
      <c r="Z6" s="3"/>
      <c r="AA6" s="3"/>
      <c r="AB6" s="3"/>
    </row>
    <row r="7" spans="1:28" s="6" customFormat="1" ht="12">
      <c r="A7" s="9" t="str">
        <f>'Staffing Year 3'!A7</f>
        <v>Regular Ed Instructors</v>
      </c>
      <c r="B7" s="69">
        <f>'TBLA Expense'!F9+'TBLA Expense'!M9</f>
        <v>55.71235489180903</v>
      </c>
      <c r="C7" s="69">
        <f>D7/B7</f>
        <v>42266.35854507968</v>
      </c>
      <c r="D7" s="69">
        <f>J7</f>
        <v>2354758.367247924</v>
      </c>
      <c r="E7" s="69">
        <f aca="true" t="shared" si="0" ref="E7:E46">D7*$G$5</f>
        <v>659332.3428294188</v>
      </c>
      <c r="F7" s="70">
        <f>D7+E7</f>
        <v>3014090.710077343</v>
      </c>
      <c r="G7" s="3"/>
      <c r="H7" s="278">
        <f>'TBLA Expense'!F9*'TBLA Expense'!F36</f>
        <v>1159541.3374401801</v>
      </c>
      <c r="I7" s="278">
        <f>'TBLA Expense'!M9*'TBLA Expense'!M36</f>
        <v>1195217.0298077443</v>
      </c>
      <c r="J7" s="278">
        <f>H7+I7</f>
        <v>2354758.367247924</v>
      </c>
      <c r="K7" s="3"/>
      <c r="L7" s="3"/>
      <c r="M7" s="3"/>
      <c r="N7" s="3"/>
      <c r="O7" s="3"/>
      <c r="P7" s="3"/>
      <c r="Q7" s="3"/>
      <c r="R7" s="3"/>
      <c r="S7" s="3"/>
      <c r="T7" s="3"/>
      <c r="U7" s="3"/>
      <c r="V7" s="3"/>
      <c r="W7" s="3"/>
      <c r="X7" s="3"/>
      <c r="Y7" s="3"/>
      <c r="Z7" s="3"/>
      <c r="AA7" s="3"/>
      <c r="AB7" s="3"/>
    </row>
    <row r="8" spans="1:28" s="6" customFormat="1" ht="12">
      <c r="A8" s="9" t="str">
        <f>'Staffing Year 3'!A8</f>
        <v>Teachers Assistants</v>
      </c>
      <c r="B8" s="69">
        <f>'TBLA Expense'!F10+'TBLA Expense'!M10</f>
        <v>20.833936918721648</v>
      </c>
      <c r="C8" s="69">
        <f aca="true" t="shared" si="1" ref="C8:C25">D8/B8</f>
        <v>23383.525914305133</v>
      </c>
      <c r="D8" s="69">
        <f aca="true" t="shared" si="2" ref="D8:D25">J8</f>
        <v>487170.9038359261</v>
      </c>
      <c r="E8" s="69">
        <f t="shared" si="0"/>
        <v>136407.85307405933</v>
      </c>
      <c r="F8" s="70">
        <f aca="true" t="shared" si="3" ref="F8:F46">D8+E8</f>
        <v>623578.7569099854</v>
      </c>
      <c r="G8" s="3"/>
      <c r="H8" s="278">
        <f>'TBLA Expense'!F10*'TBLA Expense'!F37</f>
        <v>354537.0438412762</v>
      </c>
      <c r="I8" s="278">
        <f>'TBLA Expense'!M10*'TBLA Expense'!M37</f>
        <v>132633.85999464992</v>
      </c>
      <c r="J8" s="278">
        <f aca="true" t="shared" si="4" ref="J8:J26">H8+I8</f>
        <v>487170.9038359261</v>
      </c>
      <c r="K8" s="3"/>
      <c r="L8" s="3"/>
      <c r="M8" s="3"/>
      <c r="N8" s="3"/>
      <c r="O8" s="3"/>
      <c r="P8" s="3"/>
      <c r="Q8" s="3"/>
      <c r="R8" s="3"/>
      <c r="S8" s="3"/>
      <c r="T8" s="3"/>
      <c r="U8" s="3"/>
      <c r="V8" s="3"/>
      <c r="W8" s="3"/>
      <c r="X8" s="3"/>
      <c r="Y8" s="3"/>
      <c r="Z8" s="3"/>
      <c r="AA8" s="3"/>
      <c r="AB8" s="3"/>
    </row>
    <row r="9" spans="1:28" s="6" customFormat="1" ht="12">
      <c r="A9" s="9" t="str">
        <f>'Staffing Year 3'!A9</f>
        <v>Special Ed Instructors</v>
      </c>
      <c r="B9" s="69">
        <f>'TBLA Expense'!F11+'TBLA Expense'!M11</f>
        <v>8.443826086956522</v>
      </c>
      <c r="C9" s="69">
        <f t="shared" si="1"/>
        <v>43167.14670665741</v>
      </c>
      <c r="D9" s="69">
        <f t="shared" si="2"/>
        <v>364495.8794611531</v>
      </c>
      <c r="E9" s="69">
        <f t="shared" si="0"/>
        <v>102058.84624912289</v>
      </c>
      <c r="F9" s="70">
        <f t="shared" si="3"/>
        <v>466554.725710276</v>
      </c>
      <c r="G9" s="3"/>
      <c r="H9" s="278">
        <f>'TBLA Expense'!F11*'TBLA Expense'!F38</f>
        <v>169582.64036724</v>
      </c>
      <c r="I9" s="278">
        <f>'TBLA Expense'!M11*'TBLA Expense'!M38</f>
        <v>194913.23909391311</v>
      </c>
      <c r="J9" s="278">
        <f t="shared" si="4"/>
        <v>364495.8794611531</v>
      </c>
      <c r="K9" s="3"/>
      <c r="L9" s="3"/>
      <c r="M9" s="3"/>
      <c r="N9" s="3"/>
      <c r="O9" s="3"/>
      <c r="P9" s="3"/>
      <c r="Q9" s="3"/>
      <c r="R9" s="3"/>
      <c r="S9" s="3"/>
      <c r="T9" s="3"/>
      <c r="U9" s="3"/>
      <c r="V9" s="3"/>
      <c r="W9" s="3"/>
      <c r="X9" s="3"/>
      <c r="Y9" s="3"/>
      <c r="Z9" s="3"/>
      <c r="AA9" s="3"/>
      <c r="AB9" s="3"/>
    </row>
    <row r="10" spans="1:10" ht="12">
      <c r="A10" s="9" t="str">
        <f>'Staffing Year 3'!A10</f>
        <v>Specials Instructors (Music, Art, Spanish, PE)</v>
      </c>
      <c r="B10" s="69">
        <f>'TBLA Expense'!F12+'TBLA Expense'!M12</f>
        <v>19.662809170108453</v>
      </c>
      <c r="C10" s="69">
        <f t="shared" si="1"/>
        <v>44021.87280589807</v>
      </c>
      <c r="D10" s="69">
        <f t="shared" si="2"/>
        <v>865593.6842931604</v>
      </c>
      <c r="E10" s="69">
        <f t="shared" si="0"/>
        <v>242366.23160208494</v>
      </c>
      <c r="F10" s="70">
        <f t="shared" si="3"/>
        <v>1107959.9158952455</v>
      </c>
      <c r="H10" s="278">
        <f>'TBLA Expense'!F12*'TBLA Expense'!F39</f>
        <v>232985.056033</v>
      </c>
      <c r="I10" s="278">
        <f>'TBLA Expense'!M12*'TBLA Expense'!M39</f>
        <v>632608.6282601604</v>
      </c>
      <c r="J10" s="278">
        <f t="shared" si="4"/>
        <v>865593.6842931604</v>
      </c>
    </row>
    <row r="11" spans="1:10" ht="12">
      <c r="A11" s="9" t="str">
        <f>'Staffing Year 3'!A11</f>
        <v>Library</v>
      </c>
      <c r="B11" s="69">
        <f>'TBLA Expense'!F13+'TBLA Expense'!M13</f>
        <v>0</v>
      </c>
      <c r="C11" s="69">
        <v>0</v>
      </c>
      <c r="D11" s="69">
        <f t="shared" si="2"/>
        <v>0</v>
      </c>
      <c r="E11" s="69">
        <f t="shared" si="0"/>
        <v>0</v>
      </c>
      <c r="F11" s="70">
        <f t="shared" si="3"/>
        <v>0</v>
      </c>
      <c r="G11" s="251"/>
      <c r="H11" s="278">
        <f>'TBLA Expense'!F13*'TBLA Expense'!F40</f>
        <v>0</v>
      </c>
      <c r="I11" s="278">
        <f>'TBLA Expense'!M13*'TBLA Expense'!M40</f>
        <v>0</v>
      </c>
      <c r="J11" s="278">
        <f t="shared" si="4"/>
        <v>0</v>
      </c>
    </row>
    <row r="12" spans="1:10" ht="12">
      <c r="A12" s="9" t="str">
        <f>'Staffing Year 3'!A12</f>
        <v>Reading Intervention/Resource Teacher/HA Coord/Ac. Coach</v>
      </c>
      <c r="B12" s="69">
        <f>'TBLA Expense'!F14+'TBLA Expense'!M14</f>
        <v>3</v>
      </c>
      <c r="C12" s="69">
        <f t="shared" si="1"/>
        <v>28694.913151</v>
      </c>
      <c r="D12" s="69">
        <f t="shared" si="2"/>
        <v>86084.739453</v>
      </c>
      <c r="E12" s="69">
        <f t="shared" si="0"/>
        <v>24103.727046840002</v>
      </c>
      <c r="F12" s="70">
        <f t="shared" si="3"/>
        <v>110188.46649984</v>
      </c>
      <c r="H12" s="278">
        <f>'TBLA Expense'!F14*'TBLA Expense'!F41</f>
        <v>0</v>
      </c>
      <c r="I12" s="278">
        <f>'TBLA Expense'!M14*'TBLA Expense'!M41</f>
        <v>86084.739453</v>
      </c>
      <c r="J12" s="278">
        <f t="shared" si="4"/>
        <v>86084.739453</v>
      </c>
    </row>
    <row r="13" spans="1:10" ht="12">
      <c r="A13" s="9" t="str">
        <f>'Staffing Year 3'!A13</f>
        <v>Additional Teachers (account for uneven splits)/Title I Teachers</v>
      </c>
      <c r="B13" s="69">
        <f>'TBLA Expense'!F15+'TBLA Expense'!M15</f>
        <v>5</v>
      </c>
      <c r="C13" s="69">
        <f t="shared" si="1"/>
        <v>42015.49296516015</v>
      </c>
      <c r="D13" s="69">
        <f t="shared" si="2"/>
        <v>210077.46482580074</v>
      </c>
      <c r="E13" s="69">
        <f t="shared" si="0"/>
        <v>58821.69015122421</v>
      </c>
      <c r="F13" s="70">
        <f t="shared" si="3"/>
        <v>268899.15497702494</v>
      </c>
      <c r="H13" s="278">
        <f>'TBLA Expense'!F15*'TBLA Expense'!F42</f>
        <v>82424.08</v>
      </c>
      <c r="I13" s="278">
        <f>'TBLA Expense'!M15*'TBLA Expense'!M42</f>
        <v>127653.38482580075</v>
      </c>
      <c r="J13" s="278">
        <f t="shared" si="4"/>
        <v>210077.46482580074</v>
      </c>
    </row>
    <row r="14" spans="1:10" ht="12">
      <c r="A14" s="9" t="str">
        <f>'Staffing Year 3'!A14</f>
        <v>Teaching Fellows/Interns</v>
      </c>
      <c r="B14" s="69">
        <f>'TBLA Expense'!F16+'TBLA Expense'!M16</f>
        <v>0</v>
      </c>
      <c r="C14" s="69"/>
      <c r="D14" s="69">
        <f t="shared" si="2"/>
        <v>0</v>
      </c>
      <c r="E14" s="69">
        <f t="shared" si="0"/>
        <v>0</v>
      </c>
      <c r="F14" s="70">
        <f t="shared" si="3"/>
        <v>0</v>
      </c>
      <c r="H14" s="278">
        <f>'TBLA Expense'!F16*'TBLA Expense'!F43</f>
        <v>0</v>
      </c>
      <c r="I14" s="278">
        <f>'TBLA Expense'!M16*'TBLA Expense'!M43</f>
        <v>0</v>
      </c>
      <c r="J14" s="278">
        <f t="shared" si="4"/>
        <v>0</v>
      </c>
    </row>
    <row r="15" spans="1:28" s="6" customFormat="1" ht="12">
      <c r="A15" s="9" t="str">
        <f>'Staffing Year 3'!A15</f>
        <v>Additional Tas / Special Ed Para Professionals</v>
      </c>
      <c r="B15" s="69">
        <f>'TBLA Expense'!F17+'TBLA Expense'!M17</f>
        <v>11.572085442552538</v>
      </c>
      <c r="C15" s="69">
        <f t="shared" si="1"/>
        <v>20669.983942684674</v>
      </c>
      <c r="D15" s="69">
        <f t="shared" si="2"/>
        <v>239194.82028093602</v>
      </c>
      <c r="E15" s="69">
        <f t="shared" si="0"/>
        <v>66974.5496786621</v>
      </c>
      <c r="F15" s="70">
        <f t="shared" si="3"/>
        <v>306169.3699595981</v>
      </c>
      <c r="G15" s="3"/>
      <c r="H15" s="278">
        <f>'TBLA Expense'!F17*'TBLA Expense'!F44</f>
        <v>108298.787314536</v>
      </c>
      <c r="I15" s="278">
        <f>'TBLA Expense'!M17*'TBLA Expense'!M44</f>
        <v>130896.03296640003</v>
      </c>
      <c r="J15" s="278">
        <f t="shared" si="4"/>
        <v>239194.82028093602</v>
      </c>
      <c r="K15" s="3"/>
      <c r="L15" s="3"/>
      <c r="M15" s="3"/>
      <c r="N15" s="3"/>
      <c r="O15" s="3"/>
      <c r="P15" s="3"/>
      <c r="Q15" s="3"/>
      <c r="R15" s="3"/>
      <c r="S15" s="3"/>
      <c r="T15" s="3"/>
      <c r="U15" s="3"/>
      <c r="V15" s="3"/>
      <c r="W15" s="3"/>
      <c r="X15" s="3"/>
      <c r="Y15" s="3"/>
      <c r="Z15" s="3"/>
      <c r="AA15" s="3"/>
      <c r="AB15" s="3"/>
    </row>
    <row r="16" spans="1:10" ht="12">
      <c r="A16" s="9" t="str">
        <f>'Staffing Year 3'!A16</f>
        <v>Enrollment Coordinator</v>
      </c>
      <c r="B16" s="69">
        <f>'TBLA Expense'!F18+'TBLA Expense'!M18</f>
        <v>0</v>
      </c>
      <c r="C16" s="69"/>
      <c r="D16" s="69">
        <f t="shared" si="2"/>
        <v>0</v>
      </c>
      <c r="E16" s="69">
        <f t="shared" si="0"/>
        <v>0</v>
      </c>
      <c r="F16" s="70">
        <f t="shared" si="3"/>
        <v>0</v>
      </c>
      <c r="H16" s="278">
        <f>'TBLA Expense'!F18*'TBLA Expense'!F45</f>
        <v>0</v>
      </c>
      <c r="I16" s="278">
        <f>'TBLA Expense'!M18*'TBLA Expense'!M45</f>
        <v>0</v>
      </c>
      <c r="J16" s="278">
        <f t="shared" si="4"/>
        <v>0</v>
      </c>
    </row>
    <row r="17" spans="1:10" ht="12">
      <c r="A17" s="9" t="str">
        <f>'Staffing Year 3'!A17</f>
        <v>Principals</v>
      </c>
      <c r="B17" s="69">
        <f>'TBLA Expense'!F19+'TBLA Expense'!M19</f>
        <v>2</v>
      </c>
      <c r="C17" s="69">
        <f t="shared" si="1"/>
        <v>94272.5415</v>
      </c>
      <c r="D17" s="69">
        <f t="shared" si="2"/>
        <v>188545.083</v>
      </c>
      <c r="E17" s="69">
        <f t="shared" si="0"/>
        <v>52792.62324000001</v>
      </c>
      <c r="F17" s="70">
        <f t="shared" si="3"/>
        <v>241337.70624000003</v>
      </c>
      <c r="H17" s="278">
        <f>'TBLA Expense'!F19*'TBLA Expense'!F46</f>
        <v>87575.585</v>
      </c>
      <c r="I17" s="278">
        <f>'TBLA Expense'!M19*'TBLA Expense'!M46</f>
        <v>100969.498</v>
      </c>
      <c r="J17" s="278">
        <f t="shared" si="4"/>
        <v>188545.083</v>
      </c>
    </row>
    <row r="18" spans="1:10" ht="12">
      <c r="A18" s="9" t="str">
        <f>'Staffing Year 3'!A18</f>
        <v>Assistant Principals/Instructional Coaches</v>
      </c>
      <c r="B18" s="69">
        <f>'TBLA Expense'!F20+'TBLA Expense'!M20</f>
        <v>4</v>
      </c>
      <c r="C18" s="69">
        <f t="shared" si="1"/>
        <v>56568.676405000006</v>
      </c>
      <c r="D18" s="69">
        <f t="shared" si="2"/>
        <v>226274.70562000002</v>
      </c>
      <c r="E18" s="69">
        <f t="shared" si="0"/>
        <v>63356.91757360001</v>
      </c>
      <c r="F18" s="70">
        <f t="shared" si="3"/>
        <v>289631.62319360004</v>
      </c>
      <c r="H18" s="278">
        <f>'TBLA Expense'!F20*'TBLA Expense'!F47</f>
        <v>87184.07062</v>
      </c>
      <c r="I18" s="278">
        <f>'TBLA Expense'!M20*'TBLA Expense'!M47</f>
        <v>139090.635</v>
      </c>
      <c r="J18" s="278">
        <f t="shared" si="4"/>
        <v>226274.70562000002</v>
      </c>
    </row>
    <row r="19" spans="1:10" ht="12">
      <c r="A19" s="9" t="str">
        <f>'Staffing Year 3'!A19</f>
        <v>Director of Operations</v>
      </c>
      <c r="B19" s="69">
        <f>'TBLA Expense'!F21+'TBLA Expense'!M21</f>
        <v>0</v>
      </c>
      <c r="C19" s="69"/>
      <c r="D19" s="69">
        <f t="shared" si="2"/>
        <v>0</v>
      </c>
      <c r="E19" s="69">
        <f t="shared" si="0"/>
        <v>0</v>
      </c>
      <c r="F19" s="70">
        <f t="shared" si="3"/>
        <v>0</v>
      </c>
      <c r="H19" s="278">
        <f>'TBLA Expense'!F21*'TBLA Expense'!F48</f>
        <v>0</v>
      </c>
      <c r="I19" s="278">
        <f>'TBLA Expense'!M21*'TBLA Expense'!M48</f>
        <v>0</v>
      </c>
      <c r="J19" s="278">
        <f t="shared" si="4"/>
        <v>0</v>
      </c>
    </row>
    <row r="20" spans="1:10" ht="12">
      <c r="A20" s="9" t="str">
        <f>'Staffing Year 3'!A20</f>
        <v>Custodial</v>
      </c>
      <c r="B20" s="69">
        <f>'TBLA Expense'!F22+'TBLA Expense'!M22</f>
        <v>13</v>
      </c>
      <c r="C20" s="69">
        <f t="shared" si="1"/>
        <v>27965.856312615386</v>
      </c>
      <c r="D20" s="69">
        <f t="shared" si="2"/>
        <v>363556.132064</v>
      </c>
      <c r="E20" s="69">
        <f t="shared" si="0"/>
        <v>101795.71697792</v>
      </c>
      <c r="F20" s="70">
        <f t="shared" si="3"/>
        <v>465351.84904192004</v>
      </c>
      <c r="H20" s="278">
        <f>'TBLA Expense'!F22*'TBLA Expense'!F49</f>
        <v>164161.56741360002</v>
      </c>
      <c r="I20" s="278">
        <f>'TBLA Expense'!M22*'TBLA Expense'!M49</f>
        <v>199394.56465040002</v>
      </c>
      <c r="J20" s="278">
        <f t="shared" si="4"/>
        <v>363556.132064</v>
      </c>
    </row>
    <row r="21" spans="1:10" ht="12">
      <c r="A21" s="9" t="str">
        <f>'Staffing Year 3'!A21</f>
        <v>Administrative/Clerical Staff</v>
      </c>
      <c r="B21" s="69">
        <f>'TBLA Expense'!F23+'TBLA Expense'!M23</f>
        <v>5</v>
      </c>
      <c r="C21" s="69">
        <f t="shared" si="1"/>
        <v>43002.678410775996</v>
      </c>
      <c r="D21" s="69">
        <f t="shared" si="2"/>
        <v>215013.39205387997</v>
      </c>
      <c r="E21" s="69">
        <f t="shared" si="0"/>
        <v>60203.7497750864</v>
      </c>
      <c r="F21" s="70">
        <f t="shared" si="3"/>
        <v>275217.1418289664</v>
      </c>
      <c r="H21" s="278">
        <f>'TBLA Expense'!F23*'TBLA Expense'!F50</f>
        <v>96805.021358</v>
      </c>
      <c r="I21" s="278">
        <f>'TBLA Expense'!M23*'TBLA Expense'!M50</f>
        <v>118208.37069587999</v>
      </c>
      <c r="J21" s="278">
        <f t="shared" si="4"/>
        <v>215013.39205387997</v>
      </c>
    </row>
    <row r="22" spans="1:10" ht="12">
      <c r="A22" s="9" t="str">
        <f>'Staffing Year 3'!A22</f>
        <v>Other student services staff (Social Worker/Counselor)</v>
      </c>
      <c r="B22" s="69">
        <f>'TBLA Expense'!F24+'TBLA Expense'!M24</f>
        <v>6.221643171087212</v>
      </c>
      <c r="C22" s="69">
        <f t="shared" si="1"/>
        <v>36866.11016540004</v>
      </c>
      <c r="D22" s="69">
        <f t="shared" si="2"/>
        <v>229367.78255511</v>
      </c>
      <c r="E22" s="69">
        <f t="shared" si="0"/>
        <v>64222.979115430804</v>
      </c>
      <c r="F22" s="70">
        <f t="shared" si="3"/>
        <v>293590.7616705408</v>
      </c>
      <c r="H22" s="278">
        <f>'TBLA Expense'!F24*'TBLA Expense'!F51</f>
        <v>36146.049983000004</v>
      </c>
      <c r="I22" s="278">
        <f>'TBLA Expense'!M24*'TBLA Expense'!M51</f>
        <v>193221.73257211</v>
      </c>
      <c r="J22" s="278">
        <f t="shared" si="4"/>
        <v>229367.78255511</v>
      </c>
    </row>
    <row r="23" spans="1:28" s="6" customFormat="1" ht="12">
      <c r="A23" s="9" t="str">
        <f>'Staffing Year 3'!A23</f>
        <v>Behavioral Coordinator/Non-Instructional Aide</v>
      </c>
      <c r="B23" s="69">
        <f>'TBLA Expense'!F25+'TBLA Expense'!M25</f>
        <v>5</v>
      </c>
      <c r="C23" s="69">
        <f t="shared" si="1"/>
        <v>23724.067310146005</v>
      </c>
      <c r="D23" s="69">
        <f t="shared" si="2"/>
        <v>118620.33655073002</v>
      </c>
      <c r="E23" s="69">
        <f t="shared" si="0"/>
        <v>33213.694234204406</v>
      </c>
      <c r="F23" s="70">
        <f t="shared" si="3"/>
        <v>151834.0307849344</v>
      </c>
      <c r="G23" s="3"/>
      <c r="H23" s="278">
        <f>'TBLA Expense'!F25*'TBLA Expense'!F52</f>
        <v>49918.08345</v>
      </c>
      <c r="I23" s="278">
        <f>'TBLA Expense'!M25*'TBLA Expense'!M52</f>
        <v>68702.25310073001</v>
      </c>
      <c r="J23" s="278">
        <f t="shared" si="4"/>
        <v>118620.33655073002</v>
      </c>
      <c r="K23" s="3"/>
      <c r="L23" s="3"/>
      <c r="M23" s="3"/>
      <c r="N23" s="3"/>
      <c r="O23" s="3"/>
      <c r="P23" s="3"/>
      <c r="Q23" s="3"/>
      <c r="R23" s="3"/>
      <c r="S23" s="3"/>
      <c r="T23" s="3"/>
      <c r="U23" s="3"/>
      <c r="V23" s="3"/>
      <c r="W23" s="3"/>
      <c r="X23" s="3"/>
      <c r="Y23" s="3"/>
      <c r="Z23" s="3"/>
      <c r="AA23" s="3"/>
      <c r="AB23" s="3"/>
    </row>
    <row r="24" spans="1:10" ht="12">
      <c r="A24" s="9" t="str">
        <f>'Staffing Year 3'!A24</f>
        <v>Nurse</v>
      </c>
      <c r="B24" s="69">
        <f>'TBLA Expense'!F26+'TBLA Expense'!M26</f>
        <v>1</v>
      </c>
      <c r="C24" s="69">
        <f t="shared" si="1"/>
        <v>50742.324250000005</v>
      </c>
      <c r="D24" s="69">
        <f t="shared" si="2"/>
        <v>50742.324250000005</v>
      </c>
      <c r="E24" s="69">
        <f t="shared" si="0"/>
        <v>14207.850790000002</v>
      </c>
      <c r="F24" s="70">
        <f t="shared" si="3"/>
        <v>64950.17504000001</v>
      </c>
      <c r="H24" s="278">
        <f>'TBLA Expense'!F26*'TBLA Expense'!F53</f>
        <v>50742.324250000005</v>
      </c>
      <c r="I24" s="278">
        <f>'TBLA Expense'!M26*'TBLA Expense'!M53</f>
        <v>0</v>
      </c>
      <c r="J24" s="278">
        <f t="shared" si="4"/>
        <v>50742.324250000005</v>
      </c>
    </row>
    <row r="25" spans="1:10" ht="12">
      <c r="A25" s="9" t="str">
        <f>'Staffing Year 3'!A25</f>
        <v>Dean of Scholars</v>
      </c>
      <c r="B25" s="69">
        <f>'TBLA Expense'!F27+'TBLA Expense'!M27</f>
        <v>3.2382980281754614</v>
      </c>
      <c r="C25" s="69">
        <f t="shared" si="1"/>
        <v>46059.04835707679</v>
      </c>
      <c r="D25" s="69">
        <f t="shared" si="2"/>
        <v>149152.92547436</v>
      </c>
      <c r="E25" s="69">
        <f t="shared" si="0"/>
        <v>41762.819132820805</v>
      </c>
      <c r="F25" s="70">
        <f t="shared" si="3"/>
        <v>190915.74460718082</v>
      </c>
      <c r="H25" s="278">
        <f>'TBLA Expense'!F27*'TBLA Expense'!F54</f>
        <v>48397.359174</v>
      </c>
      <c r="I25" s="278">
        <f>'TBLA Expense'!M27*'TBLA Expense'!M54</f>
        <v>100755.56630036</v>
      </c>
      <c r="J25" s="278">
        <f t="shared" si="4"/>
        <v>149152.92547436</v>
      </c>
    </row>
    <row r="26" spans="1:10" ht="12">
      <c r="A26" s="9" t="str">
        <f>'Staffing Year 3'!A26</f>
        <v>Director of Special Education</v>
      </c>
      <c r="B26" s="69">
        <f>'TBLA Expense'!F28+'TBLA Expense'!M28</f>
        <v>0</v>
      </c>
      <c r="C26" s="68">
        <f>('TBLA Expense'!E55+'TBLA Expense'!L55)/2</f>
        <v>34898.13105</v>
      </c>
      <c r="D26" s="69">
        <f>B26*C26</f>
        <v>0</v>
      </c>
      <c r="E26" s="69">
        <f t="shared" si="0"/>
        <v>0</v>
      </c>
      <c r="F26" s="70">
        <f t="shared" si="3"/>
        <v>0</v>
      </c>
      <c r="H26" s="278">
        <f>'TBLA Expense'!F28*'TBLA Expense'!F55</f>
        <v>0</v>
      </c>
      <c r="I26" s="278">
        <f>'TBLA Expense'!M28*'TBLA Expense'!M55</f>
        <v>0</v>
      </c>
      <c r="J26" s="278">
        <f t="shared" si="4"/>
        <v>0</v>
      </c>
    </row>
    <row r="27" spans="1:10" ht="12">
      <c r="A27" s="9"/>
      <c r="B27" s="69"/>
      <c r="C27" s="68"/>
      <c r="D27" s="69">
        <f aca="true" t="shared" si="5" ref="D27:D46">B27*C27</f>
        <v>0</v>
      </c>
      <c r="E27" s="69">
        <f t="shared" si="0"/>
        <v>0</v>
      </c>
      <c r="F27" s="70">
        <f t="shared" si="3"/>
        <v>0</v>
      </c>
      <c r="H27" s="278">
        <f>'TBLA Expense'!F29*'TBLA Expense'!F56</f>
        <v>0</v>
      </c>
      <c r="I27" s="278">
        <f>'TBLA Expense'!M29*'TBLA Expense'!M56</f>
        <v>0</v>
      </c>
      <c r="J27" s="99"/>
    </row>
    <row r="28" spans="1:6" ht="12">
      <c r="A28" s="9"/>
      <c r="B28" s="69"/>
      <c r="C28" s="68"/>
      <c r="D28" s="69">
        <f t="shared" si="5"/>
        <v>0</v>
      </c>
      <c r="E28" s="69">
        <f t="shared" si="0"/>
        <v>0</v>
      </c>
      <c r="F28" s="70">
        <f t="shared" si="3"/>
        <v>0</v>
      </c>
    </row>
    <row r="29" spans="1:6" ht="12">
      <c r="A29" s="9"/>
      <c r="B29" s="69"/>
      <c r="C29" s="68"/>
      <c r="D29" s="69">
        <f t="shared" si="5"/>
        <v>0</v>
      </c>
      <c r="E29" s="69">
        <f t="shared" si="0"/>
        <v>0</v>
      </c>
      <c r="F29" s="70">
        <f t="shared" si="3"/>
        <v>0</v>
      </c>
    </row>
    <row r="30" spans="1:6" ht="12">
      <c r="A30" s="9"/>
      <c r="B30" s="69"/>
      <c r="C30" s="68"/>
      <c r="D30" s="69">
        <f t="shared" si="5"/>
        <v>0</v>
      </c>
      <c r="E30" s="69">
        <f t="shared" si="0"/>
        <v>0</v>
      </c>
      <c r="F30" s="70">
        <f t="shared" si="3"/>
        <v>0</v>
      </c>
    </row>
    <row r="31" spans="1:6" ht="12">
      <c r="A31" s="55"/>
      <c r="B31" s="55"/>
      <c r="C31" s="97"/>
      <c r="D31" s="69">
        <f t="shared" si="5"/>
        <v>0</v>
      </c>
      <c r="E31" s="69">
        <f t="shared" si="0"/>
        <v>0</v>
      </c>
      <c r="F31" s="70">
        <f t="shared" si="3"/>
        <v>0</v>
      </c>
    </row>
    <row r="32" spans="1:6" ht="12">
      <c r="A32" s="55"/>
      <c r="B32" s="55"/>
      <c r="C32" s="97"/>
      <c r="D32" s="69">
        <f t="shared" si="5"/>
        <v>0</v>
      </c>
      <c r="E32" s="69">
        <f t="shared" si="0"/>
        <v>0</v>
      </c>
      <c r="F32" s="70">
        <f t="shared" si="3"/>
        <v>0</v>
      </c>
    </row>
    <row r="33" spans="1:6" ht="12">
      <c r="A33" s="55"/>
      <c r="B33" s="55"/>
      <c r="C33" s="97"/>
      <c r="D33" s="69">
        <f t="shared" si="5"/>
        <v>0</v>
      </c>
      <c r="E33" s="69">
        <f t="shared" si="0"/>
        <v>0</v>
      </c>
      <c r="F33" s="70">
        <f t="shared" si="3"/>
        <v>0</v>
      </c>
    </row>
    <row r="34" spans="1:6" ht="12">
      <c r="A34" s="55"/>
      <c r="B34" s="55"/>
      <c r="C34" s="97"/>
      <c r="D34" s="69">
        <f t="shared" si="5"/>
        <v>0</v>
      </c>
      <c r="E34" s="69">
        <f t="shared" si="0"/>
        <v>0</v>
      </c>
      <c r="F34" s="70">
        <f t="shared" si="3"/>
        <v>0</v>
      </c>
    </row>
    <row r="35" spans="1:6" ht="12">
      <c r="A35" s="55"/>
      <c r="B35" s="55"/>
      <c r="C35" s="97"/>
      <c r="D35" s="69">
        <f t="shared" si="5"/>
        <v>0</v>
      </c>
      <c r="E35" s="69">
        <f t="shared" si="0"/>
        <v>0</v>
      </c>
      <c r="F35" s="70">
        <f t="shared" si="3"/>
        <v>0</v>
      </c>
    </row>
    <row r="36" spans="1:6" ht="12">
      <c r="A36" s="55"/>
      <c r="B36" s="55"/>
      <c r="C36" s="97"/>
      <c r="D36" s="69">
        <f t="shared" si="5"/>
        <v>0</v>
      </c>
      <c r="E36" s="69">
        <f t="shared" si="0"/>
        <v>0</v>
      </c>
      <c r="F36" s="70">
        <f t="shared" si="3"/>
        <v>0</v>
      </c>
    </row>
    <row r="37" spans="1:6" ht="12">
      <c r="A37" s="55"/>
      <c r="B37" s="55"/>
      <c r="C37" s="97"/>
      <c r="D37" s="69">
        <f t="shared" si="5"/>
        <v>0</v>
      </c>
      <c r="E37" s="69">
        <f t="shared" si="0"/>
        <v>0</v>
      </c>
      <c r="F37" s="70">
        <f t="shared" si="3"/>
        <v>0</v>
      </c>
    </row>
    <row r="38" spans="1:6" ht="12">
      <c r="A38" s="55"/>
      <c r="B38" s="55"/>
      <c r="C38" s="97"/>
      <c r="D38" s="69">
        <f t="shared" si="5"/>
        <v>0</v>
      </c>
      <c r="E38" s="69">
        <f t="shared" si="0"/>
        <v>0</v>
      </c>
      <c r="F38" s="70">
        <f t="shared" si="3"/>
        <v>0</v>
      </c>
    </row>
    <row r="39" spans="1:6" ht="12">
      <c r="A39" s="55"/>
      <c r="B39" s="55"/>
      <c r="C39" s="97"/>
      <c r="D39" s="69">
        <f t="shared" si="5"/>
        <v>0</v>
      </c>
      <c r="E39" s="69">
        <f t="shared" si="0"/>
        <v>0</v>
      </c>
      <c r="F39" s="70">
        <f t="shared" si="3"/>
        <v>0</v>
      </c>
    </row>
    <row r="40" spans="1:6" ht="12">
      <c r="A40" s="55"/>
      <c r="B40" s="55"/>
      <c r="C40" s="97"/>
      <c r="D40" s="69">
        <f t="shared" si="5"/>
        <v>0</v>
      </c>
      <c r="E40" s="69">
        <f t="shared" si="0"/>
        <v>0</v>
      </c>
      <c r="F40" s="70">
        <f t="shared" si="3"/>
        <v>0</v>
      </c>
    </row>
    <row r="41" spans="1:6" ht="12">
      <c r="A41" s="55"/>
      <c r="B41" s="55"/>
      <c r="C41" s="97"/>
      <c r="D41" s="69">
        <f t="shared" si="5"/>
        <v>0</v>
      </c>
      <c r="E41" s="69">
        <f t="shared" si="0"/>
        <v>0</v>
      </c>
      <c r="F41" s="70">
        <f t="shared" si="3"/>
        <v>0</v>
      </c>
    </row>
    <row r="42" spans="1:6" ht="12">
      <c r="A42" s="100"/>
      <c r="B42" s="100"/>
      <c r="C42" s="101"/>
      <c r="D42" s="69">
        <f t="shared" si="5"/>
        <v>0</v>
      </c>
      <c r="E42" s="69">
        <f t="shared" si="0"/>
        <v>0</v>
      </c>
      <c r="F42" s="70">
        <f t="shared" si="3"/>
        <v>0</v>
      </c>
    </row>
    <row r="43" spans="1:6" ht="12">
      <c r="A43" s="100"/>
      <c r="B43" s="100"/>
      <c r="C43" s="101"/>
      <c r="D43" s="69">
        <f t="shared" si="5"/>
        <v>0</v>
      </c>
      <c r="E43" s="69">
        <f t="shared" si="0"/>
        <v>0</v>
      </c>
      <c r="F43" s="70">
        <f t="shared" si="3"/>
        <v>0</v>
      </c>
    </row>
    <row r="44" spans="1:6" ht="12">
      <c r="A44" s="100"/>
      <c r="B44" s="100"/>
      <c r="C44" s="101"/>
      <c r="D44" s="69">
        <f t="shared" si="5"/>
        <v>0</v>
      </c>
      <c r="E44" s="69">
        <f t="shared" si="0"/>
        <v>0</v>
      </c>
      <c r="F44" s="70">
        <f t="shared" si="3"/>
        <v>0</v>
      </c>
    </row>
    <row r="45" spans="1:6" ht="12">
      <c r="A45" s="100"/>
      <c r="B45" s="100"/>
      <c r="C45" s="101"/>
      <c r="D45" s="69">
        <f t="shared" si="5"/>
        <v>0</v>
      </c>
      <c r="E45" s="69">
        <f t="shared" si="0"/>
        <v>0</v>
      </c>
      <c r="F45" s="70">
        <f t="shared" si="3"/>
        <v>0</v>
      </c>
    </row>
    <row r="46" spans="1:6" ht="12.75" thickBot="1">
      <c r="A46" s="100"/>
      <c r="B46" s="100"/>
      <c r="C46" s="101"/>
      <c r="D46" s="69">
        <f t="shared" si="5"/>
        <v>0</v>
      </c>
      <c r="E46" s="69">
        <f t="shared" si="0"/>
        <v>0</v>
      </c>
      <c r="F46" s="70">
        <f t="shared" si="3"/>
        <v>0</v>
      </c>
    </row>
    <row r="47" spans="1:6" ht="12.75" thickBot="1">
      <c r="A47" s="8" t="s">
        <v>40</v>
      </c>
      <c r="B47" s="274">
        <f>SUM(B7:B46)</f>
        <v>163.68495370941085</v>
      </c>
      <c r="C47" s="103"/>
      <c r="D47" s="104">
        <f>SUM(D7:D46)</f>
        <v>6148648.540965979</v>
      </c>
      <c r="E47" s="104">
        <f>SUM(E7:E46)</f>
        <v>1721621.5914704746</v>
      </c>
      <c r="F47" s="105">
        <f>SUM(F7:F46)</f>
        <v>7870270.132436456</v>
      </c>
    </row>
    <row r="48" spans="4:5" ht="12">
      <c r="D48" s="249">
        <f>D47-'Combined '!F36</f>
        <v>0</v>
      </c>
      <c r="E48" s="249">
        <f>E47-'Combined '!F38</f>
        <v>0</v>
      </c>
    </row>
    <row r="60" spans="6:29" ht="12">
      <c r="F60" s="48"/>
      <c r="G60" s="48"/>
      <c r="H60" s="48"/>
      <c r="I60" s="48"/>
      <c r="J60" s="48"/>
      <c r="K60" s="48"/>
      <c r="L60" s="48"/>
      <c r="M60" s="48"/>
      <c r="N60" s="48"/>
      <c r="O60" s="48"/>
      <c r="P60" s="48"/>
      <c r="Q60" s="48"/>
      <c r="R60" s="48"/>
      <c r="S60" s="48"/>
      <c r="T60" s="48"/>
      <c r="U60" s="48"/>
      <c r="V60" s="48"/>
      <c r="W60" s="48"/>
      <c r="X60" s="48"/>
      <c r="Y60" s="48"/>
      <c r="Z60" s="48"/>
      <c r="AA60" s="48"/>
      <c r="AB60" s="48"/>
      <c r="AC60" s="48"/>
    </row>
  </sheetData>
  <sheetProtection/>
  <mergeCells count="4">
    <mergeCell ref="A5:F5"/>
    <mergeCell ref="A1:F1"/>
    <mergeCell ref="A2:F2"/>
    <mergeCell ref="A4:F4"/>
  </mergeCells>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sheetPr>
    <tabColor theme="3"/>
  </sheetPr>
  <dimension ref="A1:E146"/>
  <sheetViews>
    <sheetView workbookViewId="0" topLeftCell="A1">
      <selection activeCell="A1" sqref="A1"/>
    </sheetView>
  </sheetViews>
  <sheetFormatPr defaultColWidth="11.57421875" defaultRowHeight="15"/>
  <cols>
    <col min="1" max="1" width="45.28125" style="48" bestFit="1" customWidth="1"/>
    <col min="2" max="2" width="10.7109375" style="119" bestFit="1" customWidth="1"/>
    <col min="3" max="3" width="12.421875" style="206" customWidth="1"/>
    <col min="4" max="4" width="37.140625" style="93" bestFit="1" customWidth="1"/>
    <col min="5" max="5" width="2.421875" style="48" customWidth="1"/>
    <col min="6" max="16384" width="11.421875" style="48" customWidth="1"/>
  </cols>
  <sheetData>
    <row r="1" spans="1:2" ht="12">
      <c r="A1" s="120" t="str">
        <f>'YEAR 1'!A1</f>
        <v>Enrollment</v>
      </c>
      <c r="B1" s="119">
        <f>'Combined '!G2</f>
        <v>1373</v>
      </c>
    </row>
    <row r="2" ht="12.75" thickBot="1"/>
    <row r="3" spans="1:4" ht="12">
      <c r="A3" s="298" t="s">
        <v>119</v>
      </c>
      <c r="B3" s="299"/>
      <c r="C3" s="299"/>
      <c r="D3" s="300"/>
    </row>
    <row r="4" spans="1:5" s="11" customFormat="1" ht="12">
      <c r="A4" s="10" t="s">
        <v>0</v>
      </c>
      <c r="B4" s="106" t="s">
        <v>1</v>
      </c>
      <c r="C4" s="208" t="s">
        <v>227</v>
      </c>
      <c r="D4" s="10" t="s">
        <v>89</v>
      </c>
      <c r="E4" s="22"/>
    </row>
    <row r="5" spans="1:4" s="11" customFormat="1" ht="12">
      <c r="A5" s="122" t="s">
        <v>90</v>
      </c>
      <c r="B5" s="107"/>
      <c r="C5" s="209"/>
      <c r="D5" s="44"/>
    </row>
    <row r="6" spans="1:4" s="45" customFormat="1" ht="12">
      <c r="A6" s="24" t="s">
        <v>93</v>
      </c>
      <c r="B6" s="108">
        <f>'Combined '!G6</f>
        <v>9328837.166392092</v>
      </c>
      <c r="C6" s="210">
        <f>B6/$B$1</f>
        <v>6794.4917453693315</v>
      </c>
      <c r="D6" s="290" t="s">
        <v>282</v>
      </c>
    </row>
    <row r="7" spans="1:5" ht="12">
      <c r="A7" s="23" t="s">
        <v>94</v>
      </c>
      <c r="B7" s="109"/>
      <c r="C7" s="210">
        <f aca="true" t="shared" si="0" ref="C7:C17">B7/$B$1</f>
        <v>0</v>
      </c>
      <c r="D7" s="41" t="s">
        <v>5</v>
      </c>
      <c r="E7" s="50"/>
    </row>
    <row r="8" spans="1:5" ht="12">
      <c r="A8" s="23" t="s">
        <v>74</v>
      </c>
      <c r="B8" s="109"/>
      <c r="C8" s="210">
        <f t="shared" si="0"/>
        <v>0</v>
      </c>
      <c r="D8" s="41"/>
      <c r="E8" s="50"/>
    </row>
    <row r="9" spans="1:5" ht="12">
      <c r="A9" s="23" t="s">
        <v>149</v>
      </c>
      <c r="B9" s="109"/>
      <c r="C9" s="210">
        <f t="shared" si="0"/>
        <v>0</v>
      </c>
      <c r="D9" s="41"/>
      <c r="E9" s="50"/>
    </row>
    <row r="10" spans="1:5" ht="12">
      <c r="A10" s="23" t="s">
        <v>95</v>
      </c>
      <c r="B10" s="109"/>
      <c r="C10" s="210">
        <f t="shared" si="0"/>
        <v>0</v>
      </c>
      <c r="D10" s="41"/>
      <c r="E10" s="50"/>
    </row>
    <row r="11" spans="1:5" ht="12">
      <c r="A11" s="23" t="s">
        <v>96</v>
      </c>
      <c r="B11" s="109"/>
      <c r="C11" s="210">
        <f t="shared" si="0"/>
        <v>0</v>
      </c>
      <c r="D11" s="41"/>
      <c r="E11" s="50"/>
    </row>
    <row r="12" spans="1:5" ht="12">
      <c r="A12" s="23" t="s">
        <v>97</v>
      </c>
      <c r="B12" s="109">
        <f>'Combined '!G12</f>
        <v>64966</v>
      </c>
      <c r="C12" s="210">
        <f t="shared" si="0"/>
        <v>47.316824471959215</v>
      </c>
      <c r="D12" s="290" t="s">
        <v>282</v>
      </c>
      <c r="E12" s="50"/>
    </row>
    <row r="13" spans="1:5" ht="12">
      <c r="A13" s="23" t="s">
        <v>98</v>
      </c>
      <c r="B13" s="109"/>
      <c r="C13" s="210">
        <f t="shared" si="0"/>
        <v>0</v>
      </c>
      <c r="D13" s="41"/>
      <c r="E13" s="50"/>
    </row>
    <row r="14" spans="1:5" ht="12">
      <c r="A14" s="23" t="s">
        <v>165</v>
      </c>
      <c r="B14" s="109">
        <f>'Combined '!G13</f>
        <v>685141.6803953871</v>
      </c>
      <c r="C14" s="210">
        <f t="shared" si="0"/>
        <v>499.0106922034866</v>
      </c>
      <c r="D14" s="290" t="s">
        <v>282</v>
      </c>
      <c r="E14" s="50"/>
    </row>
    <row r="15" spans="1:5" ht="12">
      <c r="A15" s="23" t="s">
        <v>166</v>
      </c>
      <c r="B15" s="109"/>
      <c r="C15" s="210">
        <f t="shared" si="0"/>
        <v>0</v>
      </c>
      <c r="D15" s="95"/>
      <c r="E15" s="50"/>
    </row>
    <row r="16" spans="1:5" ht="12">
      <c r="A16" s="23" t="s">
        <v>104</v>
      </c>
      <c r="B16" s="109"/>
      <c r="C16" s="210">
        <f t="shared" si="0"/>
        <v>0</v>
      </c>
      <c r="D16" s="41"/>
      <c r="E16" s="50"/>
    </row>
    <row r="17" spans="1:5" ht="12">
      <c r="A17" s="23" t="s">
        <v>104</v>
      </c>
      <c r="B17" s="109"/>
      <c r="C17" s="210">
        <f t="shared" si="0"/>
        <v>0</v>
      </c>
      <c r="D17" s="41"/>
      <c r="E17" s="50"/>
    </row>
    <row r="18" spans="1:5" ht="12">
      <c r="A18" s="15" t="s">
        <v>42</v>
      </c>
      <c r="B18" s="110"/>
      <c r="C18" s="211"/>
      <c r="D18" s="73"/>
      <c r="E18" s="50"/>
    </row>
    <row r="19" spans="1:5" ht="12">
      <c r="A19" s="23" t="s">
        <v>112</v>
      </c>
      <c r="B19" s="111">
        <f>'Combined '!G8</f>
        <v>327021.15485996706</v>
      </c>
      <c r="C19" s="210">
        <f aca="true" t="shared" si="1" ref="C19:C35">B19/$B$1</f>
        <v>238.1800108229913</v>
      </c>
      <c r="D19" s="188"/>
      <c r="E19" s="50"/>
    </row>
    <row r="20" spans="1:5" ht="12">
      <c r="A20" s="23" t="s">
        <v>150</v>
      </c>
      <c r="B20" s="109">
        <f>'Combined '!G9</f>
        <v>1749694.640856672</v>
      </c>
      <c r="C20" s="210">
        <f t="shared" si="1"/>
        <v>1274.358806159266</v>
      </c>
      <c r="D20" s="290" t="s">
        <v>282</v>
      </c>
      <c r="E20" s="59"/>
    </row>
    <row r="21" spans="1:5" ht="12">
      <c r="A21" s="24" t="s">
        <v>2</v>
      </c>
      <c r="B21" s="109">
        <f>'Combined '!G10</f>
        <v>424264.586490939</v>
      </c>
      <c r="C21" s="210">
        <f t="shared" si="1"/>
        <v>309.0055254850248</v>
      </c>
      <c r="D21" s="290" t="s">
        <v>282</v>
      </c>
      <c r="E21" s="59"/>
    </row>
    <row r="22" spans="1:5" ht="12">
      <c r="A22" s="24" t="s">
        <v>3</v>
      </c>
      <c r="B22" s="109">
        <f>'Combined '!G7*0.65</f>
        <v>476969.3574958814</v>
      </c>
      <c r="C22" s="210">
        <f t="shared" si="1"/>
        <v>347.39210305599516</v>
      </c>
      <c r="D22" s="290" t="s">
        <v>282</v>
      </c>
      <c r="E22" s="59"/>
    </row>
    <row r="23" spans="1:5" ht="12">
      <c r="A23" s="23" t="s">
        <v>91</v>
      </c>
      <c r="B23" s="109">
        <f>'Combined '!G7*0.35</f>
        <v>256829.6540362438</v>
      </c>
      <c r="C23" s="210">
        <f t="shared" si="1"/>
        <v>187.05728626092045</v>
      </c>
      <c r="D23" s="290" t="s">
        <v>282</v>
      </c>
      <c r="E23" s="59"/>
    </row>
    <row r="24" spans="1:5" ht="12">
      <c r="A24" s="23" t="s">
        <v>92</v>
      </c>
      <c r="B24" s="109"/>
      <c r="C24" s="210">
        <f t="shared" si="1"/>
        <v>0</v>
      </c>
      <c r="D24" s="290" t="s">
        <v>282</v>
      </c>
      <c r="E24" s="59"/>
    </row>
    <row r="25" spans="1:5" ht="12">
      <c r="A25" s="14" t="s">
        <v>41</v>
      </c>
      <c r="B25" s="109"/>
      <c r="C25" s="210">
        <f t="shared" si="1"/>
        <v>0</v>
      </c>
      <c r="D25" s="52"/>
      <c r="E25" s="59"/>
    </row>
    <row r="26" spans="1:5" ht="12">
      <c r="A26" s="14" t="s">
        <v>41</v>
      </c>
      <c r="B26" s="110"/>
      <c r="C26" s="210">
        <f t="shared" si="1"/>
        <v>0</v>
      </c>
      <c r="D26" s="52"/>
      <c r="E26" s="50"/>
    </row>
    <row r="27" spans="1:5" ht="12">
      <c r="A27" s="15" t="s">
        <v>43</v>
      </c>
      <c r="B27" s="109"/>
      <c r="C27" s="210">
        <f t="shared" si="1"/>
        <v>0</v>
      </c>
      <c r="D27" s="43"/>
      <c r="E27" s="59"/>
    </row>
    <row r="28" spans="1:5" ht="12">
      <c r="A28" s="24" t="s">
        <v>99</v>
      </c>
      <c r="B28" s="109"/>
      <c r="C28" s="210">
        <f t="shared" si="1"/>
        <v>0</v>
      </c>
      <c r="D28" s="41"/>
      <c r="E28" s="59"/>
    </row>
    <row r="29" spans="1:5" ht="12">
      <c r="A29" s="24" t="s">
        <v>100</v>
      </c>
      <c r="B29" s="109"/>
      <c r="C29" s="210">
        <f t="shared" si="1"/>
        <v>0</v>
      </c>
      <c r="D29" s="41"/>
      <c r="E29" s="59"/>
    </row>
    <row r="30" spans="1:5" ht="12">
      <c r="A30" s="24" t="s">
        <v>101</v>
      </c>
      <c r="B30" s="109">
        <f>'Combined '!G11</f>
        <v>253702</v>
      </c>
      <c r="C30" s="210">
        <f t="shared" si="1"/>
        <v>184.77931536780773</v>
      </c>
      <c r="D30" s="41"/>
      <c r="E30" s="59"/>
    </row>
    <row r="31" spans="1:5" ht="12">
      <c r="A31" s="13" t="s">
        <v>180</v>
      </c>
      <c r="B31" s="109"/>
      <c r="C31" s="210">
        <f t="shared" si="1"/>
        <v>0</v>
      </c>
      <c r="D31" s="290" t="s">
        <v>282</v>
      </c>
      <c r="E31" s="59"/>
    </row>
    <row r="32" spans="1:5" ht="12">
      <c r="A32" s="13" t="s">
        <v>47</v>
      </c>
      <c r="B32" s="109"/>
      <c r="C32" s="210">
        <f t="shared" si="1"/>
        <v>0</v>
      </c>
      <c r="D32" s="41"/>
      <c r="E32" s="59"/>
    </row>
    <row r="33" spans="1:5" ht="12">
      <c r="A33" s="13" t="s">
        <v>47</v>
      </c>
      <c r="B33" s="109"/>
      <c r="C33" s="210">
        <f t="shared" si="1"/>
        <v>0</v>
      </c>
      <c r="D33" s="41"/>
      <c r="E33" s="59"/>
    </row>
    <row r="34" spans="1:5" ht="12">
      <c r="A34" s="20" t="s">
        <v>4</v>
      </c>
      <c r="B34" s="110">
        <f>SUM(B6:B33)</f>
        <v>13567426.240527183</v>
      </c>
      <c r="C34" s="210">
        <f t="shared" si="1"/>
        <v>9881.592309196783</v>
      </c>
      <c r="D34" s="41"/>
      <c r="E34" s="59"/>
    </row>
    <row r="35" spans="2:5" s="47" customFormat="1" ht="12">
      <c r="B35" s="111">
        <f>B34-'Combined '!G14</f>
        <v>0</v>
      </c>
      <c r="C35" s="210">
        <f t="shared" si="1"/>
        <v>0</v>
      </c>
      <c r="D35" s="43"/>
      <c r="E35" s="76"/>
    </row>
    <row r="36" spans="1:5" ht="12">
      <c r="A36" s="10"/>
      <c r="B36" s="110"/>
      <c r="C36" s="164"/>
      <c r="D36" s="75"/>
      <c r="E36" s="59"/>
    </row>
    <row r="37" spans="1:5" ht="12">
      <c r="A37" s="10"/>
      <c r="B37" s="110"/>
      <c r="C37" s="164"/>
      <c r="D37" s="75"/>
      <c r="E37" s="59"/>
    </row>
    <row r="38" spans="1:5" ht="12">
      <c r="A38" s="12" t="s">
        <v>56</v>
      </c>
      <c r="B38" s="110"/>
      <c r="C38" s="211"/>
      <c r="D38" s="43"/>
      <c r="E38" s="59"/>
    </row>
    <row r="39" spans="1:5" ht="12">
      <c r="A39" s="63" t="s">
        <v>77</v>
      </c>
      <c r="B39" s="110">
        <f>'Staffing Year 5'!F47</f>
        <v>8021136.670485056</v>
      </c>
      <c r="C39" s="210">
        <f aca="true" t="shared" si="2" ref="C39:C102">B39/$B$1</f>
        <v>5842.051471584163</v>
      </c>
      <c r="D39" s="282" t="s">
        <v>285</v>
      </c>
      <c r="E39" s="59"/>
    </row>
    <row r="40" spans="1:5" ht="12">
      <c r="A40" s="96" t="s">
        <v>73</v>
      </c>
      <c r="B40" s="111">
        <f>'TBLA Expense'!G62+'TBLA Expense'!N62</f>
        <v>213424.76927620257</v>
      </c>
      <c r="C40" s="210">
        <f t="shared" si="2"/>
        <v>155.44411454930994</v>
      </c>
      <c r="D40" s="282" t="s">
        <v>278</v>
      </c>
      <c r="E40" s="59"/>
    </row>
    <row r="41" spans="1:5" ht="12">
      <c r="A41" s="14" t="s">
        <v>151</v>
      </c>
      <c r="B41" s="111">
        <f>'TBLA Expense'!G63+'TBLA Expense'!N63</f>
        <v>66107.59262473046</v>
      </c>
      <c r="C41" s="210">
        <f t="shared" si="2"/>
        <v>48.148283047873605</v>
      </c>
      <c r="D41" s="41" t="s">
        <v>5</v>
      </c>
      <c r="E41" s="78"/>
    </row>
    <row r="42" spans="1:5" ht="12">
      <c r="A42" s="14" t="s">
        <v>74</v>
      </c>
      <c r="B42" s="111"/>
      <c r="C42" s="210">
        <f t="shared" si="2"/>
        <v>0</v>
      </c>
      <c r="D42" s="41"/>
      <c r="E42" s="78"/>
    </row>
    <row r="43" spans="1:5" ht="12">
      <c r="A43" s="7" t="s">
        <v>75</v>
      </c>
      <c r="B43" s="111"/>
      <c r="C43" s="210">
        <f t="shared" si="2"/>
        <v>0</v>
      </c>
      <c r="D43" s="41"/>
      <c r="E43" s="78"/>
    </row>
    <row r="44" spans="1:5" ht="12">
      <c r="A44" s="7" t="s">
        <v>47</v>
      </c>
      <c r="B44" s="111"/>
      <c r="C44" s="210">
        <f t="shared" si="2"/>
        <v>0</v>
      </c>
      <c r="D44" s="41"/>
      <c r="E44" s="78"/>
    </row>
    <row r="45" spans="1:5" ht="12">
      <c r="A45" s="7" t="s">
        <v>47</v>
      </c>
      <c r="B45" s="111"/>
      <c r="C45" s="210">
        <f t="shared" si="2"/>
        <v>0</v>
      </c>
      <c r="D45" s="41"/>
      <c r="E45" s="78"/>
    </row>
    <row r="46" spans="1:5" ht="12">
      <c r="A46" s="7" t="s">
        <v>47</v>
      </c>
      <c r="B46" s="111"/>
      <c r="C46" s="210">
        <f t="shared" si="2"/>
        <v>0</v>
      </c>
      <c r="D46" s="41"/>
      <c r="E46" s="78"/>
    </row>
    <row r="47" spans="1:5" ht="12">
      <c r="A47" s="7" t="s">
        <v>47</v>
      </c>
      <c r="B47" s="111"/>
      <c r="C47" s="210">
        <f t="shared" si="2"/>
        <v>0</v>
      </c>
      <c r="D47" s="41"/>
      <c r="E47" s="78"/>
    </row>
    <row r="48" spans="1:5" ht="12">
      <c r="A48" s="63" t="s">
        <v>76</v>
      </c>
      <c r="B48" s="110">
        <f>SUM(B39:B47)</f>
        <v>8300669.032385989</v>
      </c>
      <c r="C48" s="210">
        <f t="shared" si="2"/>
        <v>6045.643869181346</v>
      </c>
      <c r="D48" s="41"/>
      <c r="E48" s="78"/>
    </row>
    <row r="49" spans="2:5" s="45" customFormat="1" ht="12">
      <c r="B49" s="110">
        <f>B48-'Combined '!G42</f>
        <v>0</v>
      </c>
      <c r="C49" s="210">
        <f t="shared" si="2"/>
        <v>0</v>
      </c>
      <c r="D49" s="41"/>
      <c r="E49" s="83"/>
    </row>
    <row r="50" spans="1:5" s="87" customFormat="1" ht="12">
      <c r="A50" s="15" t="s">
        <v>78</v>
      </c>
      <c r="B50" s="110"/>
      <c r="C50" s="210">
        <f t="shared" si="2"/>
        <v>0</v>
      </c>
      <c r="D50" s="282" t="s">
        <v>287</v>
      </c>
      <c r="E50" s="85"/>
    </row>
    <row r="51" spans="1:5" ht="12">
      <c r="A51" s="79" t="s">
        <v>6</v>
      </c>
      <c r="B51" s="111">
        <f>'TBLA Expense'!G66+'TBLA Expense'!N66</f>
        <v>50501.009763723225</v>
      </c>
      <c r="C51" s="210">
        <f t="shared" si="2"/>
        <v>36.78150747539929</v>
      </c>
      <c r="D51" s="43"/>
      <c r="E51" s="50"/>
    </row>
    <row r="52" spans="1:5" s="47" customFormat="1" ht="12">
      <c r="A52" s="79" t="s">
        <v>7</v>
      </c>
      <c r="B52" s="111">
        <f>'TBLA Expense'!G67+'TBLA Expense'!N67</f>
        <v>3378.9629385667213</v>
      </c>
      <c r="C52" s="210">
        <f t="shared" si="2"/>
        <v>2.4610072385773645</v>
      </c>
      <c r="D52" s="43"/>
      <c r="E52" s="80"/>
    </row>
    <row r="53" spans="1:5" s="47" customFormat="1" ht="12">
      <c r="A53" s="79" t="s">
        <v>8</v>
      </c>
      <c r="B53" s="111">
        <f>'TBLA Expense'!G68+'TBLA Expense'!N68</f>
        <v>0</v>
      </c>
      <c r="C53" s="210">
        <f t="shared" si="2"/>
        <v>0</v>
      </c>
      <c r="D53" s="41"/>
      <c r="E53" s="80"/>
    </row>
    <row r="54" spans="1:5" s="47" customFormat="1" ht="12">
      <c r="A54" s="19" t="s">
        <v>9</v>
      </c>
      <c r="B54" s="111">
        <f>'TBLA Expense'!G69+'TBLA Expense'!N69</f>
        <v>18699.657210175727</v>
      </c>
      <c r="C54" s="210">
        <f t="shared" si="2"/>
        <v>13.619560968809706</v>
      </c>
      <c r="D54" s="41" t="s">
        <v>5</v>
      </c>
      <c r="E54" s="80"/>
    </row>
    <row r="55" spans="1:5" ht="12">
      <c r="A55" s="19" t="s">
        <v>10</v>
      </c>
      <c r="B55" s="111">
        <f>'TBLA Expense'!G70+'TBLA Expense'!N70</f>
        <v>0</v>
      </c>
      <c r="C55" s="210">
        <f t="shared" si="2"/>
        <v>0</v>
      </c>
      <c r="D55" s="41"/>
      <c r="E55" s="59"/>
    </row>
    <row r="56" spans="1:5" ht="12">
      <c r="A56" s="19" t="s">
        <v>11</v>
      </c>
      <c r="B56" s="111">
        <f>'TBLA Expense'!G71+'TBLA Expense'!N71</f>
        <v>77482.8737800633</v>
      </c>
      <c r="C56" s="210">
        <f t="shared" si="2"/>
        <v>56.43326568103663</v>
      </c>
      <c r="D56" s="41"/>
      <c r="E56" s="59"/>
    </row>
    <row r="57" spans="1:5" ht="12">
      <c r="A57" s="19" t="s">
        <v>44</v>
      </c>
      <c r="B57" s="111">
        <f>'TBLA Expense'!G72+'TBLA Expense'!N72</f>
        <v>121668.94489691812</v>
      </c>
      <c r="C57" s="210">
        <f t="shared" si="2"/>
        <v>88.61540050758785</v>
      </c>
      <c r="D57" s="81"/>
      <c r="E57" s="59"/>
    </row>
    <row r="58" spans="1:5" ht="12">
      <c r="A58" s="82" t="s">
        <v>12</v>
      </c>
      <c r="B58" s="111">
        <f>'TBLA Expense'!G73+'TBLA Expense'!N73</f>
        <v>27574.894490444807</v>
      </c>
      <c r="C58" s="210">
        <f t="shared" si="2"/>
        <v>20.083681347738388</v>
      </c>
      <c r="D58" s="41"/>
      <c r="E58" s="59"/>
    </row>
    <row r="59" spans="1:5" ht="12">
      <c r="A59" s="14" t="s">
        <v>66</v>
      </c>
      <c r="B59" s="111">
        <f>'TBLA Expense'!G74+'TBLA Expense'!N74</f>
        <v>128836.03387070837</v>
      </c>
      <c r="C59" s="210">
        <f t="shared" si="2"/>
        <v>93.83542161012991</v>
      </c>
      <c r="D59" s="41"/>
      <c r="E59" s="78"/>
    </row>
    <row r="60" spans="1:5" ht="12">
      <c r="A60" s="7" t="s">
        <v>47</v>
      </c>
      <c r="B60" s="111"/>
      <c r="C60" s="210">
        <f t="shared" si="2"/>
        <v>0</v>
      </c>
      <c r="D60" s="41"/>
      <c r="E60" s="78"/>
    </row>
    <row r="61" spans="1:5" ht="12">
      <c r="A61" s="7" t="s">
        <v>47</v>
      </c>
      <c r="B61" s="111"/>
      <c r="C61" s="210">
        <f t="shared" si="2"/>
        <v>0</v>
      </c>
      <c r="D61" s="41" t="s">
        <v>5</v>
      </c>
      <c r="E61" s="59"/>
    </row>
    <row r="62" spans="1:5" ht="12">
      <c r="A62" s="7" t="s">
        <v>47</v>
      </c>
      <c r="B62" s="111"/>
      <c r="C62" s="210">
        <f t="shared" si="2"/>
        <v>0</v>
      </c>
      <c r="D62" s="41"/>
      <c r="E62" s="59"/>
    </row>
    <row r="63" spans="1:5" ht="12">
      <c r="A63" s="7" t="s">
        <v>47</v>
      </c>
      <c r="B63" s="111"/>
      <c r="C63" s="210">
        <f t="shared" si="2"/>
        <v>0</v>
      </c>
      <c r="D63" s="41"/>
      <c r="E63" s="59"/>
    </row>
    <row r="64" spans="1:5" ht="12">
      <c r="A64" s="7" t="s">
        <v>47</v>
      </c>
      <c r="B64" s="111"/>
      <c r="C64" s="210">
        <f t="shared" si="2"/>
        <v>0</v>
      </c>
      <c r="D64" s="41"/>
      <c r="E64" s="59"/>
    </row>
    <row r="65" spans="1:5" ht="12">
      <c r="A65" s="20" t="s">
        <v>79</v>
      </c>
      <c r="B65" s="110">
        <f>SUM(B51:B64)</f>
        <v>428142.37695060024</v>
      </c>
      <c r="C65" s="210">
        <f t="shared" si="2"/>
        <v>311.8298448292791</v>
      </c>
      <c r="D65" s="41"/>
      <c r="E65" s="59"/>
    </row>
    <row r="66" spans="2:5" s="45" customFormat="1" ht="12">
      <c r="B66" s="110">
        <f>B65-'Combined '!G53</f>
        <v>0</v>
      </c>
      <c r="C66" s="210">
        <f t="shared" si="2"/>
        <v>0</v>
      </c>
      <c r="D66" s="41"/>
      <c r="E66" s="83"/>
    </row>
    <row r="67" spans="1:5" s="87" customFormat="1" ht="12">
      <c r="A67" s="15" t="s">
        <v>45</v>
      </c>
      <c r="B67" s="110"/>
      <c r="C67" s="210">
        <f t="shared" si="2"/>
        <v>0</v>
      </c>
      <c r="D67" s="43"/>
      <c r="E67" s="85"/>
    </row>
    <row r="68" spans="1:5" ht="12">
      <c r="A68" s="7" t="s">
        <v>19</v>
      </c>
      <c r="B68" s="112">
        <f>'TBLA Expense'!G77+'TBLA Expense'!N77</f>
        <v>20470.342767489292</v>
      </c>
      <c r="C68" s="210">
        <f t="shared" si="2"/>
        <v>14.909208133641146</v>
      </c>
      <c r="D68" s="43"/>
      <c r="E68" s="50"/>
    </row>
    <row r="69" spans="1:5" ht="12">
      <c r="A69" s="7" t="s">
        <v>20</v>
      </c>
      <c r="B69" s="112">
        <f>'TBLA Expense'!G78+'TBLA Expense'!N78</f>
        <v>6859.723689611202</v>
      </c>
      <c r="C69" s="210">
        <f t="shared" si="2"/>
        <v>4.996157093671669</v>
      </c>
      <c r="D69" s="43"/>
      <c r="E69" s="59"/>
    </row>
    <row r="70" spans="1:5" ht="12">
      <c r="A70" s="14" t="s">
        <v>21</v>
      </c>
      <c r="B70" s="112">
        <f>'TBLA Expense'!G79+'TBLA Expense'!N79</f>
        <v>12268.3269798402</v>
      </c>
      <c r="C70" s="210">
        <f t="shared" si="2"/>
        <v>8.935416591289293</v>
      </c>
      <c r="D70" s="41"/>
      <c r="E70" s="59"/>
    </row>
    <row r="71" spans="1:5" ht="12">
      <c r="A71" s="7" t="s">
        <v>22</v>
      </c>
      <c r="B71" s="112">
        <f>'TBLA Expense'!G80+'TBLA Expense'!N80</f>
        <v>41351.92844781554</v>
      </c>
      <c r="C71" s="210">
        <f t="shared" si="2"/>
        <v>30.117937689596168</v>
      </c>
      <c r="D71" s="41"/>
      <c r="E71" s="78"/>
    </row>
    <row r="72" spans="1:5" ht="12">
      <c r="A72" s="7" t="s">
        <v>281</v>
      </c>
      <c r="B72" s="112">
        <f>'TBLA Expense'!G81+'TBLA Expense'!N81</f>
        <v>39629.01221740033</v>
      </c>
      <c r="C72" s="210">
        <f t="shared" si="2"/>
        <v>28.863082459869144</v>
      </c>
      <c r="D72" s="88"/>
      <c r="E72" s="78"/>
    </row>
    <row r="73" spans="1:5" ht="12">
      <c r="A73" s="7" t="s">
        <v>47</v>
      </c>
      <c r="B73" s="112">
        <v>0</v>
      </c>
      <c r="C73" s="210">
        <f t="shared" si="2"/>
        <v>0</v>
      </c>
      <c r="D73" s="88"/>
      <c r="E73" s="59"/>
    </row>
    <row r="74" spans="1:5" ht="12">
      <c r="A74" s="7" t="s">
        <v>47</v>
      </c>
      <c r="B74" s="112">
        <v>0</v>
      </c>
      <c r="C74" s="210">
        <f t="shared" si="2"/>
        <v>0</v>
      </c>
      <c r="D74" s="41"/>
      <c r="E74" s="59"/>
    </row>
    <row r="75" spans="1:5" ht="12">
      <c r="A75" s="7" t="s">
        <v>47</v>
      </c>
      <c r="B75" s="112">
        <v>0</v>
      </c>
      <c r="C75" s="210">
        <f t="shared" si="2"/>
        <v>0</v>
      </c>
      <c r="D75" s="41"/>
      <c r="E75" s="59"/>
    </row>
    <row r="76" spans="1:5" ht="12">
      <c r="A76" s="7" t="s">
        <v>47</v>
      </c>
      <c r="B76" s="112">
        <v>0</v>
      </c>
      <c r="C76" s="210">
        <f t="shared" si="2"/>
        <v>0</v>
      </c>
      <c r="D76" s="41"/>
      <c r="E76" s="59"/>
    </row>
    <row r="77" spans="1:5" ht="12">
      <c r="A77" s="20" t="s">
        <v>80</v>
      </c>
      <c r="B77" s="110">
        <f>SUM(B68:B76)</f>
        <v>120579.33410215657</v>
      </c>
      <c r="C77" s="210">
        <f t="shared" si="2"/>
        <v>87.82180196806742</v>
      </c>
      <c r="D77" s="41"/>
      <c r="E77" s="59"/>
    </row>
    <row r="78" spans="1:5" s="45" customFormat="1" ht="12">
      <c r="A78" s="20"/>
      <c r="B78" s="110">
        <f>B77-'Combined '!G60</f>
        <v>0</v>
      </c>
      <c r="C78" s="210">
        <f t="shared" si="2"/>
        <v>0</v>
      </c>
      <c r="D78" s="41"/>
      <c r="E78" s="83"/>
    </row>
    <row r="79" spans="1:5" s="45" customFormat="1" ht="12">
      <c r="A79" s="15" t="s">
        <v>54</v>
      </c>
      <c r="B79" s="110"/>
      <c r="C79" s="210">
        <f t="shared" si="2"/>
        <v>0</v>
      </c>
      <c r="D79" s="43"/>
      <c r="E79" s="83"/>
    </row>
    <row r="80" spans="1:5" ht="12">
      <c r="A80" s="14" t="s">
        <v>55</v>
      </c>
      <c r="B80" s="112"/>
      <c r="C80" s="210">
        <f t="shared" si="2"/>
        <v>0</v>
      </c>
      <c r="D80" s="43"/>
      <c r="E80" s="50"/>
    </row>
    <row r="81" spans="1:5" ht="12">
      <c r="A81" s="14" t="s">
        <v>13</v>
      </c>
      <c r="B81" s="112"/>
      <c r="C81" s="210">
        <f t="shared" si="2"/>
        <v>0</v>
      </c>
      <c r="D81" s="43"/>
      <c r="E81" s="89"/>
    </row>
    <row r="82" spans="1:5" ht="12">
      <c r="A82" s="14" t="s">
        <v>14</v>
      </c>
      <c r="B82" s="112"/>
      <c r="C82" s="210">
        <f t="shared" si="2"/>
        <v>0</v>
      </c>
      <c r="D82" s="41" t="s">
        <v>5</v>
      </c>
      <c r="E82" s="78"/>
    </row>
    <row r="83" spans="1:5" ht="12">
      <c r="A83" s="7" t="s">
        <v>47</v>
      </c>
      <c r="B83" s="113"/>
      <c r="C83" s="210">
        <f t="shared" si="2"/>
        <v>0</v>
      </c>
      <c r="D83" s="41"/>
      <c r="E83" s="78"/>
    </row>
    <row r="84" spans="1:5" ht="12">
      <c r="A84" s="7" t="s">
        <v>47</v>
      </c>
      <c r="B84" s="113"/>
      <c r="C84" s="210">
        <f t="shared" si="2"/>
        <v>0</v>
      </c>
      <c r="D84" s="41"/>
      <c r="E84" s="59"/>
    </row>
    <row r="85" spans="1:5" ht="12">
      <c r="A85" s="7" t="s">
        <v>47</v>
      </c>
      <c r="B85" s="113"/>
      <c r="C85" s="210">
        <f t="shared" si="2"/>
        <v>0</v>
      </c>
      <c r="D85" s="41"/>
      <c r="E85" s="59"/>
    </row>
    <row r="86" spans="1:5" ht="12">
      <c r="A86" s="7" t="s">
        <v>47</v>
      </c>
      <c r="B86" s="113"/>
      <c r="C86" s="210">
        <f t="shared" si="2"/>
        <v>0</v>
      </c>
      <c r="D86" s="41"/>
      <c r="E86" s="59"/>
    </row>
    <row r="87" spans="1:5" ht="12">
      <c r="A87" s="7" t="s">
        <v>47</v>
      </c>
      <c r="B87" s="113"/>
      <c r="C87" s="210">
        <f t="shared" si="2"/>
        <v>0</v>
      </c>
      <c r="D87" s="41"/>
      <c r="E87" s="59"/>
    </row>
    <row r="88" spans="1:5" ht="12">
      <c r="A88" s="20" t="s">
        <v>81</v>
      </c>
      <c r="B88" s="110">
        <f>SUM(B80:B87)</f>
        <v>0</v>
      </c>
      <c r="C88" s="210">
        <f t="shared" si="2"/>
        <v>0</v>
      </c>
      <c r="D88" s="41"/>
      <c r="E88" s="59"/>
    </row>
    <row r="89" spans="1:5" s="45" customFormat="1" ht="12">
      <c r="A89" s="20"/>
      <c r="B89" s="110"/>
      <c r="C89" s="210">
        <f t="shared" si="2"/>
        <v>0</v>
      </c>
      <c r="D89" s="41"/>
      <c r="E89" s="83"/>
    </row>
    <row r="90" spans="1:5" s="45" customFormat="1" ht="12">
      <c r="A90" s="15" t="s">
        <v>46</v>
      </c>
      <c r="B90" s="110"/>
      <c r="C90" s="210">
        <f t="shared" si="2"/>
        <v>0</v>
      </c>
      <c r="D90" s="43"/>
      <c r="E90" s="83"/>
    </row>
    <row r="91" spans="1:5" ht="12">
      <c r="A91" s="14" t="s">
        <v>15</v>
      </c>
      <c r="B91" s="112">
        <f>'TBLA Expense'!G90+'TBLA Expense'!N90</f>
        <v>5203.02005</v>
      </c>
      <c r="C91" s="210">
        <f t="shared" si="2"/>
        <v>3.789526620538966</v>
      </c>
      <c r="D91" s="43"/>
      <c r="E91" s="50"/>
    </row>
    <row r="92" spans="1:5" ht="12">
      <c r="A92" s="23" t="s">
        <v>148</v>
      </c>
      <c r="B92" s="112">
        <f>'TBLA Expense'!G91+'TBLA Expense'!N91</f>
        <v>21903.673806490002</v>
      </c>
      <c r="C92" s="210">
        <f t="shared" si="2"/>
        <v>15.95314916714494</v>
      </c>
      <c r="D92" s="43"/>
      <c r="E92" s="78"/>
    </row>
    <row r="93" spans="1:5" ht="12">
      <c r="A93" s="14" t="s">
        <v>16</v>
      </c>
      <c r="B93" s="112">
        <f>'TBLA Expense'!G92+'TBLA Expense'!N92</f>
        <v>42040.610124802</v>
      </c>
      <c r="C93" s="210">
        <f t="shared" si="2"/>
        <v>30.619526675019664</v>
      </c>
      <c r="D93" s="41"/>
      <c r="E93" s="78"/>
    </row>
    <row r="94" spans="1:5" ht="12">
      <c r="A94" s="14" t="s">
        <v>17</v>
      </c>
      <c r="B94" s="112">
        <f>'TBLA Expense'!G93+'TBLA Expense'!N93</f>
        <v>50904.26696118</v>
      </c>
      <c r="C94" s="210">
        <f t="shared" si="2"/>
        <v>37.075212644705026</v>
      </c>
      <c r="D94" s="41" t="s">
        <v>5</v>
      </c>
      <c r="E94" s="78"/>
    </row>
    <row r="95" spans="1:5" ht="12">
      <c r="A95" s="14" t="s">
        <v>18</v>
      </c>
      <c r="B95" s="112">
        <f>'TBLA Expense'!G94+'TBLA Expense'!N94</f>
        <v>24454.194235000003</v>
      </c>
      <c r="C95" s="210">
        <f t="shared" si="2"/>
        <v>17.81077511653314</v>
      </c>
      <c r="D95" s="41"/>
      <c r="E95" s="78"/>
    </row>
    <row r="96" spans="1:5" ht="12">
      <c r="A96" s="7" t="s">
        <v>26</v>
      </c>
      <c r="B96" s="112">
        <f>'TBLA Expense'!G95+'TBLA Expense'!N95</f>
        <v>15805.882076130223</v>
      </c>
      <c r="C96" s="210">
        <f t="shared" si="2"/>
        <v>11.511931592228859</v>
      </c>
      <c r="D96" s="41"/>
      <c r="E96" s="78"/>
    </row>
    <row r="97" spans="1:5" ht="12">
      <c r="A97" s="14" t="s">
        <v>23</v>
      </c>
      <c r="B97" s="112">
        <f>'TBLA Expense'!G96+'TBLA Expense'!N96</f>
        <v>61603.757392</v>
      </c>
      <c r="C97" s="210">
        <f t="shared" si="2"/>
        <v>44.86799518718136</v>
      </c>
      <c r="D97" s="41"/>
      <c r="E97" s="59"/>
    </row>
    <row r="98" spans="1:5" ht="12">
      <c r="A98" s="14" t="s">
        <v>24</v>
      </c>
      <c r="B98" s="112">
        <f>'TBLA Expense'!G97+'TBLA Expense'!N97</f>
        <v>36525.200751000004</v>
      </c>
      <c r="C98" s="210">
        <f t="shared" si="2"/>
        <v>26.60247687618354</v>
      </c>
      <c r="D98" s="41" t="s">
        <v>5</v>
      </c>
      <c r="E98" s="78"/>
    </row>
    <row r="99" spans="1:5" ht="24">
      <c r="A99" s="23" t="s">
        <v>113</v>
      </c>
      <c r="B99" s="112">
        <f>'TBLA Expense'!G98+'TBLA Expense'!N98</f>
        <v>127552.03652575001</v>
      </c>
      <c r="C99" s="210">
        <f t="shared" si="2"/>
        <v>92.90024510251276</v>
      </c>
      <c r="D99" s="41"/>
      <c r="E99" s="78"/>
    </row>
    <row r="100" spans="1:5" ht="12">
      <c r="A100" s="7" t="s">
        <v>30</v>
      </c>
      <c r="B100" s="112">
        <f>'TBLA Expense'!G99+'TBLA Expense'!N99</f>
        <v>1716.9966165000003</v>
      </c>
      <c r="C100" s="210">
        <f t="shared" si="2"/>
        <v>1.2505437847778589</v>
      </c>
      <c r="D100" s="41"/>
      <c r="E100" s="78"/>
    </row>
    <row r="101" spans="1:5" ht="12">
      <c r="A101" s="7" t="s">
        <v>31</v>
      </c>
      <c r="B101" s="112">
        <f>'TBLA Expense'!G100+'TBLA Expense'!N100</f>
        <v>6373.6995612499995</v>
      </c>
      <c r="C101" s="210">
        <f t="shared" si="2"/>
        <v>4.642170110160233</v>
      </c>
      <c r="D101" s="41"/>
      <c r="E101" s="59"/>
    </row>
    <row r="102" spans="1:5" ht="12">
      <c r="A102" s="51" t="s">
        <v>102</v>
      </c>
      <c r="B102" s="112">
        <f>'TBLA Expense'!G101+'TBLA Expense'!N101</f>
        <v>68159.562655</v>
      </c>
      <c r="C102" s="210">
        <f t="shared" si="2"/>
        <v>49.64279872906045</v>
      </c>
      <c r="D102" s="41"/>
      <c r="E102" s="59"/>
    </row>
    <row r="103" spans="1:5" ht="12">
      <c r="A103" s="51" t="s">
        <v>48</v>
      </c>
      <c r="B103" s="112">
        <f>'TBLA Expense'!G102+'TBLA Expense'!N102</f>
        <v>29335.87218</v>
      </c>
      <c r="C103" s="210">
        <f aca="true" t="shared" si="3" ref="C103:C141">B103/$B$1</f>
        <v>21.366257960670065</v>
      </c>
      <c r="D103" s="41"/>
      <c r="E103" s="59"/>
    </row>
    <row r="104" spans="1:5" ht="12">
      <c r="A104" s="51" t="s">
        <v>27</v>
      </c>
      <c r="B104" s="112">
        <f>'TBLA Expense'!G103+'TBLA Expense'!N103</f>
        <v>772838.2976540069</v>
      </c>
      <c r="C104" s="210">
        <f t="shared" si="3"/>
        <v>562.8829553197428</v>
      </c>
      <c r="D104" s="52"/>
      <c r="E104" s="59"/>
    </row>
    <row r="105" spans="1:5" ht="12">
      <c r="A105" s="51" t="s">
        <v>28</v>
      </c>
      <c r="B105" s="112">
        <f>'TBLA Expense'!G104+'TBLA Expense'!N104</f>
        <v>119877.581952</v>
      </c>
      <c r="C105" s="210">
        <f t="shared" si="3"/>
        <v>87.31069333721777</v>
      </c>
      <c r="D105" s="52"/>
      <c r="E105" s="59"/>
    </row>
    <row r="106" spans="1:5" ht="12">
      <c r="A106" s="96" t="s">
        <v>153</v>
      </c>
      <c r="B106" s="114"/>
      <c r="C106" s="210">
        <f t="shared" si="3"/>
        <v>0</v>
      </c>
      <c r="D106" s="52"/>
      <c r="E106" s="59"/>
    </row>
    <row r="107" spans="1:5" ht="12">
      <c r="A107" s="51" t="s">
        <v>271</v>
      </c>
      <c r="B107" s="114">
        <f>'TBLA Expense'!G106+'TBLA Expense'!N106</f>
        <v>18329.685904526887</v>
      </c>
      <c r="C107" s="210">
        <f t="shared" si="3"/>
        <v>13.35009898363211</v>
      </c>
      <c r="D107" s="52"/>
      <c r="E107" s="59"/>
    </row>
    <row r="108" spans="1:5" ht="12">
      <c r="A108" s="51" t="s">
        <v>272</v>
      </c>
      <c r="B108" s="114">
        <f>'TBLA Expense'!G107+'TBLA Expense'!N107</f>
        <v>12965.754707678743</v>
      </c>
      <c r="C108" s="210">
        <f t="shared" si="3"/>
        <v>9.443375606466674</v>
      </c>
      <c r="D108" s="52"/>
      <c r="E108" s="59"/>
    </row>
    <row r="109" spans="1:5" ht="12">
      <c r="A109" s="51" t="s">
        <v>274</v>
      </c>
      <c r="B109" s="114">
        <f>'TBLA Expense'!G108+'TBLA Expense'!N108+'TBLA Expense'!N110+'TBLA Expense'!N111+'TBLA Expense'!G111+'TBLA Expense'!G110+'TBLA Expense'!G105+'TBLA Expense'!N105</f>
        <v>30287.00940169389</v>
      </c>
      <c r="C109" s="210">
        <f t="shared" si="3"/>
        <v>22.059001749230802</v>
      </c>
      <c r="D109" s="52"/>
      <c r="E109" s="59"/>
    </row>
    <row r="110" spans="1:5" ht="12">
      <c r="A110" s="51" t="s">
        <v>273</v>
      </c>
      <c r="B110" s="115">
        <f>'TBLA Expense'!G109+'TBLA Expense'!N109</f>
        <v>151298.73489468917</v>
      </c>
      <c r="C110" s="210">
        <f t="shared" si="3"/>
        <v>110.19572825541819</v>
      </c>
      <c r="D110" s="52"/>
      <c r="E110" s="59"/>
    </row>
    <row r="111" spans="1:5" ht="12">
      <c r="A111" s="20" t="s">
        <v>82</v>
      </c>
      <c r="B111" s="110">
        <f>SUM(B91:B110)</f>
        <v>1597175.8374496978</v>
      </c>
      <c r="C111" s="210">
        <f t="shared" si="3"/>
        <v>1163.2744628184253</v>
      </c>
      <c r="D111" s="52"/>
      <c r="E111" s="59"/>
    </row>
    <row r="112" spans="1:5" s="45" customFormat="1" ht="12">
      <c r="A112" s="94"/>
      <c r="B112" s="110">
        <f>B111-'Combined '!G89</f>
        <v>0</v>
      </c>
      <c r="C112" s="210">
        <f t="shared" si="3"/>
        <v>0</v>
      </c>
      <c r="D112" s="53"/>
      <c r="E112" s="83"/>
    </row>
    <row r="113" spans="1:5" s="47" customFormat="1" ht="12">
      <c r="A113" s="94" t="s">
        <v>32</v>
      </c>
      <c r="B113" s="110"/>
      <c r="C113" s="210">
        <f t="shared" si="3"/>
        <v>0</v>
      </c>
      <c r="D113" s="43"/>
      <c r="E113" s="76"/>
    </row>
    <row r="114" spans="1:5" ht="12">
      <c r="A114" s="51" t="s">
        <v>33</v>
      </c>
      <c r="B114" s="115">
        <f>'TBLA Expense'!G115+'TBLA Expense'!N115</f>
        <v>302520.23537116</v>
      </c>
      <c r="C114" s="210">
        <f t="shared" si="3"/>
        <v>220.33520420332118</v>
      </c>
      <c r="D114" s="42"/>
      <c r="E114" s="59"/>
    </row>
    <row r="115" spans="1:5" ht="12">
      <c r="A115" s="149" t="s">
        <v>154</v>
      </c>
      <c r="B115" s="115">
        <f>'TBLA Expense'!G116+'TBLA Expense'!N116</f>
        <v>55257.44440251235</v>
      </c>
      <c r="C115" s="210">
        <f t="shared" si="3"/>
        <v>40.24577159687717</v>
      </c>
      <c r="D115" s="42"/>
      <c r="E115" s="59"/>
    </row>
    <row r="116" spans="1:5" ht="12">
      <c r="A116" s="91" t="s">
        <v>34</v>
      </c>
      <c r="B116" s="115">
        <f>'TBLA Expense'!G117+'TBLA Expense'!N117</f>
        <v>212832.66381463755</v>
      </c>
      <c r="C116" s="210">
        <f t="shared" si="3"/>
        <v>155.01286512355247</v>
      </c>
      <c r="D116" s="52" t="s">
        <v>5</v>
      </c>
      <c r="E116" s="59"/>
    </row>
    <row r="117" spans="1:5" ht="12">
      <c r="A117" s="51" t="s">
        <v>105</v>
      </c>
      <c r="B117" s="115">
        <f>'TBLA Expense'!G118+'TBLA Expense'!N118</f>
        <v>41428.72570948929</v>
      </c>
      <c r="C117" s="210">
        <f t="shared" si="3"/>
        <v>30.173871601958698</v>
      </c>
      <c r="D117" s="52"/>
      <c r="E117" s="59"/>
    </row>
    <row r="118" spans="1:5" ht="12">
      <c r="A118" s="54" t="s">
        <v>35</v>
      </c>
      <c r="B118" s="115">
        <f>'TBLA Expense'!G119+'TBLA Expense'!N119</f>
        <v>23652.740569967053</v>
      </c>
      <c r="C118" s="210">
        <f t="shared" si="3"/>
        <v>17.227050670041553</v>
      </c>
      <c r="D118" s="52" t="s">
        <v>5</v>
      </c>
      <c r="E118" s="59"/>
    </row>
    <row r="119" spans="1:5" ht="12">
      <c r="A119" s="54" t="s">
        <v>36</v>
      </c>
      <c r="B119" s="115">
        <f>'TBLA Expense'!G120+'TBLA Expense'!N120</f>
        <v>129927.0574593511</v>
      </c>
      <c r="C119" s="210">
        <f t="shared" si="3"/>
        <v>94.63004913281216</v>
      </c>
      <c r="D119" s="52"/>
      <c r="E119" s="78"/>
    </row>
    <row r="120" spans="1:5" ht="12">
      <c r="A120" s="51" t="s">
        <v>25</v>
      </c>
      <c r="B120" s="115">
        <f>'TBLA Expense'!G121+'TBLA Expense'!N121</f>
        <v>65504.05093920099</v>
      </c>
      <c r="C120" s="210">
        <f t="shared" si="3"/>
        <v>47.70870425287763</v>
      </c>
      <c r="D120" s="52"/>
      <c r="E120" s="78"/>
    </row>
    <row r="121" spans="1:5" ht="12">
      <c r="A121" s="51" t="s">
        <v>29</v>
      </c>
      <c r="B121" s="115">
        <f>'TBLA Expense'!G122+'TBLA Expense'!N122</f>
        <v>50334.684556062275</v>
      </c>
      <c r="C121" s="210">
        <f t="shared" si="3"/>
        <v>36.660367484386214</v>
      </c>
      <c r="D121" s="52"/>
      <c r="E121" s="59"/>
    </row>
    <row r="122" spans="1:5" ht="12">
      <c r="A122" s="96" t="s">
        <v>155</v>
      </c>
      <c r="B122" s="115">
        <f>'TBLA Expense'!G85+'TBLA Expense'!N85</f>
        <v>1191869.3435585422</v>
      </c>
      <c r="C122" s="210">
        <f t="shared" si="3"/>
        <v>868.0767250972631</v>
      </c>
      <c r="D122" s="52"/>
      <c r="E122" s="59"/>
    </row>
    <row r="123" spans="1:5" ht="12">
      <c r="A123" s="51" t="s">
        <v>276</v>
      </c>
      <c r="B123" s="115">
        <f>'TBLA Expense'!G84+'TBLA Expense'!G86+'TBLA Expense'!N84</f>
        <v>282397</v>
      </c>
      <c r="C123" s="210">
        <f t="shared" si="3"/>
        <v>205.6788055353241</v>
      </c>
      <c r="D123" s="52"/>
      <c r="E123" s="59"/>
    </row>
    <row r="124" spans="1:5" ht="12">
      <c r="A124" s="51" t="s">
        <v>275</v>
      </c>
      <c r="B124" s="115">
        <f>'TBLA Expense'!G124+'TBLA Expense'!N124</f>
        <v>90962.84805700165</v>
      </c>
      <c r="C124" s="210">
        <f t="shared" si="3"/>
        <v>66.25116391624302</v>
      </c>
      <c r="D124" s="52"/>
      <c r="E124" s="59"/>
    </row>
    <row r="125" spans="1:5" ht="12">
      <c r="A125" s="51" t="s">
        <v>277</v>
      </c>
      <c r="B125" s="115">
        <f>'TBLA Expense'!G123+'TBLA Expense'!N123</f>
        <v>16649.66416</v>
      </c>
      <c r="C125" s="210">
        <f t="shared" si="3"/>
        <v>12.126485185724691</v>
      </c>
      <c r="D125" s="52"/>
      <c r="E125" s="59"/>
    </row>
    <row r="126" spans="1:5" ht="12">
      <c r="A126" s="51" t="s">
        <v>47</v>
      </c>
      <c r="B126" s="115"/>
      <c r="C126" s="210">
        <f t="shared" si="3"/>
        <v>0</v>
      </c>
      <c r="D126" s="52"/>
      <c r="E126" s="59"/>
    </row>
    <row r="127" spans="1:5" ht="12">
      <c r="A127" s="20" t="s">
        <v>37</v>
      </c>
      <c r="B127" s="110">
        <f>SUM(B114:B126)</f>
        <v>2463336.4585979246</v>
      </c>
      <c r="C127" s="210">
        <f t="shared" si="3"/>
        <v>1794.127063800382</v>
      </c>
      <c r="D127" s="52"/>
      <c r="E127" s="59"/>
    </row>
    <row r="128" spans="1:5" ht="12">
      <c r="A128" s="63"/>
      <c r="B128" s="110">
        <f>B127-'Combined '!G101-'Combined '!G65</f>
        <v>0</v>
      </c>
      <c r="C128" s="210">
        <f t="shared" si="3"/>
        <v>0</v>
      </c>
      <c r="D128" s="52"/>
      <c r="E128" s="59"/>
    </row>
    <row r="129" spans="1:5" s="47" customFormat="1" ht="12">
      <c r="A129" s="17" t="s">
        <v>83</v>
      </c>
      <c r="B129" s="116"/>
      <c r="C129" s="210">
        <f t="shared" si="3"/>
        <v>0</v>
      </c>
      <c r="D129" s="43"/>
      <c r="E129" s="76"/>
    </row>
    <row r="130" spans="1:5" ht="12">
      <c r="A130" s="96" t="s">
        <v>85</v>
      </c>
      <c r="B130" s="117">
        <f>'TBLA Expense'!C127+'TBLA Expense'!C128+'TBLA Expense'!J127+'TBLA Expense'!J128</f>
        <v>0</v>
      </c>
      <c r="C130" s="210">
        <f t="shared" si="3"/>
        <v>0</v>
      </c>
      <c r="D130" s="43"/>
      <c r="E130" s="59"/>
    </row>
    <row r="131" spans="1:5" s="47" customFormat="1" ht="12">
      <c r="A131" s="96" t="s">
        <v>111</v>
      </c>
      <c r="B131" s="117">
        <f>'TBLA Expense'!G129+'TBLA Expense'!N129</f>
        <v>93288.37166392092</v>
      </c>
      <c r="C131" s="210">
        <f t="shared" si="3"/>
        <v>67.94491745369331</v>
      </c>
      <c r="D131" s="42"/>
      <c r="E131" s="76"/>
    </row>
    <row r="132" spans="1:5" s="47" customFormat="1" ht="12">
      <c r="A132" s="96" t="s">
        <v>84</v>
      </c>
      <c r="B132" s="117">
        <f>'TBLA Expense'!G130+'TBLA Expense'!N130</f>
        <v>500000</v>
      </c>
      <c r="C132" s="210">
        <f t="shared" si="3"/>
        <v>364.1660597232338</v>
      </c>
      <c r="D132" s="95"/>
      <c r="E132" s="76"/>
    </row>
    <row r="133" spans="1:5" s="47" customFormat="1" ht="24">
      <c r="A133" s="23" t="s">
        <v>169</v>
      </c>
      <c r="B133" s="117"/>
      <c r="C133" s="210">
        <f t="shared" si="3"/>
        <v>0</v>
      </c>
      <c r="D133" s="79" t="s">
        <v>279</v>
      </c>
      <c r="E133" s="76"/>
    </row>
    <row r="134" spans="1:5" s="47" customFormat="1" ht="12">
      <c r="A134" s="96" t="s">
        <v>167</v>
      </c>
      <c r="B134" s="111"/>
      <c r="C134" s="210">
        <f t="shared" si="3"/>
        <v>0</v>
      </c>
      <c r="D134" s="95"/>
      <c r="E134" s="76"/>
    </row>
    <row r="135" spans="1:5" s="56" customFormat="1" ht="12">
      <c r="A135" s="51" t="s">
        <v>47</v>
      </c>
      <c r="B135" s="109"/>
      <c r="C135" s="210">
        <f t="shared" si="3"/>
        <v>0</v>
      </c>
      <c r="D135" s="95"/>
      <c r="E135" s="57"/>
    </row>
    <row r="136" spans="2:5" ht="12">
      <c r="B136" s="109"/>
      <c r="C136" s="210">
        <f t="shared" si="3"/>
        <v>0</v>
      </c>
      <c r="D136" s="95"/>
      <c r="E136" s="59"/>
    </row>
    <row r="137" spans="1:5" ht="12">
      <c r="A137" s="20" t="s">
        <v>38</v>
      </c>
      <c r="B137" s="110">
        <f>SUM(B130:B136)</f>
        <v>593288.3716639209</v>
      </c>
      <c r="C137" s="210">
        <f t="shared" si="3"/>
        <v>432.1109771769271</v>
      </c>
      <c r="D137" s="95"/>
      <c r="E137" s="59"/>
    </row>
    <row r="138" spans="1:5" ht="12">
      <c r="A138" s="20"/>
      <c r="B138" s="110">
        <f>B137-'Combined '!G106</f>
        <v>0</v>
      </c>
      <c r="C138" s="210">
        <f t="shared" si="3"/>
        <v>0</v>
      </c>
      <c r="D138" s="41"/>
      <c r="E138" s="59"/>
    </row>
    <row r="139" spans="1:5" ht="12">
      <c r="A139" s="20" t="s">
        <v>39</v>
      </c>
      <c r="B139" s="110">
        <f>B137+B127+B111+B88+B77+B65+B48</f>
        <v>13503191.411150288</v>
      </c>
      <c r="C139" s="210">
        <f t="shared" si="3"/>
        <v>9834.808019774428</v>
      </c>
      <c r="D139" s="41"/>
      <c r="E139" s="59"/>
    </row>
    <row r="140" spans="1:5" ht="12">
      <c r="A140" s="130"/>
      <c r="B140" s="118">
        <f>B139-'Combined '!G108</f>
        <v>0</v>
      </c>
      <c r="C140" s="210">
        <f t="shared" si="3"/>
        <v>0</v>
      </c>
      <c r="D140" s="41"/>
      <c r="E140" s="59"/>
    </row>
    <row r="141" spans="1:5" ht="12">
      <c r="A141" s="129" t="s">
        <v>87</v>
      </c>
      <c r="B141" s="118">
        <f>B34-B139</f>
        <v>64234.82937689498</v>
      </c>
      <c r="C141" s="210">
        <f t="shared" si="3"/>
        <v>46.78428942235614</v>
      </c>
      <c r="D141" s="41"/>
      <c r="E141" s="59"/>
    </row>
    <row r="142" spans="2:5" ht="12">
      <c r="B142" s="110">
        <f>'Combined '!G110-B141</f>
        <v>0</v>
      </c>
      <c r="C142" s="210">
        <f>B142/$B$1</f>
        <v>0</v>
      </c>
      <c r="D142" s="43"/>
      <c r="E142" s="59"/>
    </row>
    <row r="143" spans="2:5" ht="12">
      <c r="B143" s="48"/>
      <c r="C143" s="48"/>
      <c r="D143" s="48"/>
      <c r="E143" s="59"/>
    </row>
    <row r="144" spans="2:5" ht="12">
      <c r="B144" s="48"/>
      <c r="C144" s="48"/>
      <c r="D144" s="48"/>
      <c r="E144" s="59"/>
    </row>
    <row r="145" spans="1:5" s="47" customFormat="1" ht="12">
      <c r="A145" s="48"/>
      <c r="B145" s="48"/>
      <c r="C145" s="48"/>
      <c r="D145" s="48"/>
      <c r="E145" s="76"/>
    </row>
    <row r="146" spans="2:4" ht="12">
      <c r="B146" s="48"/>
      <c r="C146" s="48"/>
      <c r="D146" s="48"/>
    </row>
  </sheetData>
  <sheetProtection/>
  <mergeCells count="1">
    <mergeCell ref="A3:D3"/>
  </mergeCells>
  <printOptions/>
  <pageMargins left="0.7" right="0.7" top="0.75" bottom="0.75" header="0.3" footer="0.3"/>
  <pageSetup horizontalDpi="1200" verticalDpi="1200" orientation="portrait" scale="91"/>
</worksheet>
</file>

<file path=xl/worksheets/sheet13.xml><?xml version="1.0" encoding="utf-8"?>
<worksheet xmlns="http://schemas.openxmlformats.org/spreadsheetml/2006/main" xmlns:r="http://schemas.openxmlformats.org/officeDocument/2006/relationships">
  <sheetPr>
    <tabColor rgb="FF00B050"/>
  </sheetPr>
  <dimension ref="A1:AC60"/>
  <sheetViews>
    <sheetView workbookViewId="0" topLeftCell="A1">
      <selection activeCell="D7" sqref="D7"/>
    </sheetView>
  </sheetViews>
  <sheetFormatPr defaultColWidth="15.7109375" defaultRowHeight="15"/>
  <cols>
    <col min="1" max="1" width="33.140625" style="48" customWidth="1"/>
    <col min="2" max="2" width="14.421875" style="48" customWidth="1"/>
    <col min="3" max="5" width="15.7109375" style="48" customWidth="1"/>
    <col min="6" max="6" width="15.7109375" style="45" customWidth="1"/>
    <col min="7" max="10" width="15.7109375" style="45" hidden="1" customWidth="1"/>
    <col min="11" max="29" width="15.7109375" style="45" customWidth="1"/>
    <col min="30" max="16384" width="15.7109375" style="48" customWidth="1"/>
  </cols>
  <sheetData>
    <row r="1" spans="1:6" ht="18" customHeight="1">
      <c r="A1" s="301" t="s">
        <v>110</v>
      </c>
      <c r="B1" s="301"/>
      <c r="C1" s="301"/>
      <c r="D1" s="301"/>
      <c r="E1" s="301"/>
      <c r="F1" s="301"/>
    </row>
    <row r="2" spans="1:29" s="4" customFormat="1" ht="48.75" customHeight="1">
      <c r="A2" s="302"/>
      <c r="B2" s="302"/>
      <c r="C2" s="302"/>
      <c r="D2" s="302"/>
      <c r="E2" s="302"/>
      <c r="F2" s="302"/>
      <c r="G2" s="3"/>
      <c r="H2" s="3"/>
      <c r="I2" s="3"/>
      <c r="J2" s="3"/>
      <c r="K2" s="3"/>
      <c r="L2" s="3"/>
      <c r="M2" s="3"/>
      <c r="N2" s="3"/>
      <c r="O2" s="3"/>
      <c r="P2" s="3"/>
      <c r="Q2" s="3"/>
      <c r="R2" s="3"/>
      <c r="S2" s="3"/>
      <c r="T2" s="3"/>
      <c r="U2" s="3"/>
      <c r="V2" s="3"/>
      <c r="W2" s="3"/>
      <c r="X2" s="3"/>
      <c r="Y2" s="3"/>
      <c r="Z2" s="3"/>
      <c r="AA2" s="3"/>
      <c r="AB2" s="3"/>
      <c r="AC2" s="3"/>
    </row>
    <row r="3" spans="1:29" s="6" customFormat="1" ht="12.75" thickBot="1">
      <c r="A3" s="5"/>
      <c r="B3" s="3"/>
      <c r="C3" s="3"/>
      <c r="D3" s="3"/>
      <c r="E3" s="3"/>
      <c r="F3" s="3"/>
      <c r="G3" s="3"/>
      <c r="H3" s="3"/>
      <c r="I3" s="3"/>
      <c r="J3" s="3"/>
      <c r="K3" s="3"/>
      <c r="L3" s="3"/>
      <c r="M3" s="3"/>
      <c r="N3" s="3"/>
      <c r="O3" s="3"/>
      <c r="P3" s="3"/>
      <c r="Q3" s="3"/>
      <c r="R3" s="3"/>
      <c r="S3" s="3"/>
      <c r="T3" s="3"/>
      <c r="U3" s="3"/>
      <c r="V3" s="3"/>
      <c r="W3" s="3"/>
      <c r="X3" s="3"/>
      <c r="Y3" s="3"/>
      <c r="Z3" s="3"/>
      <c r="AA3" s="3"/>
      <c r="AB3" s="3"/>
      <c r="AC3" s="3"/>
    </row>
    <row r="4" spans="1:29" s="6" customFormat="1" ht="12.75" thickBot="1">
      <c r="A4" s="303" t="s">
        <v>57</v>
      </c>
      <c r="B4" s="304"/>
      <c r="C4" s="304"/>
      <c r="D4" s="304"/>
      <c r="E4" s="304"/>
      <c r="F4" s="305"/>
      <c r="G4" s="3"/>
      <c r="H4" s="3"/>
      <c r="I4" s="3"/>
      <c r="J4" s="3"/>
      <c r="K4" s="3"/>
      <c r="L4" s="3"/>
      <c r="M4" s="3"/>
      <c r="N4" s="3"/>
      <c r="O4" s="3"/>
      <c r="P4" s="3"/>
      <c r="Q4" s="3"/>
      <c r="R4" s="3"/>
      <c r="S4" s="3"/>
      <c r="T4" s="3"/>
      <c r="U4" s="3"/>
      <c r="V4" s="3"/>
      <c r="W4" s="3"/>
      <c r="X4" s="3"/>
      <c r="Y4" s="3"/>
      <c r="Z4" s="3"/>
      <c r="AA4" s="3"/>
      <c r="AB4" s="3"/>
      <c r="AC4" s="3"/>
    </row>
    <row r="5" spans="1:28" s="6" customFormat="1" ht="50.25" customHeight="1" thickBot="1">
      <c r="A5" s="303" t="s">
        <v>280</v>
      </c>
      <c r="B5" s="304"/>
      <c r="C5" s="304"/>
      <c r="D5" s="304"/>
      <c r="E5" s="304"/>
      <c r="F5" s="305"/>
      <c r="G5" s="3">
        <f>'Staffing Year 4'!G5</f>
        <v>0.28</v>
      </c>
      <c r="H5" s="3"/>
      <c r="I5" s="3"/>
      <c r="J5" s="3"/>
      <c r="K5" s="3"/>
      <c r="L5" s="3"/>
      <c r="M5" s="3"/>
      <c r="N5" s="3"/>
      <c r="O5" s="3"/>
      <c r="P5" s="3"/>
      <c r="Q5" s="3"/>
      <c r="R5" s="3"/>
      <c r="S5" s="3"/>
      <c r="T5" s="3"/>
      <c r="U5" s="3"/>
      <c r="V5" s="3"/>
      <c r="W5" s="3"/>
      <c r="X5" s="3"/>
      <c r="Y5" s="3"/>
      <c r="Z5" s="3"/>
      <c r="AA5" s="3"/>
      <c r="AB5" s="3"/>
    </row>
    <row r="6" spans="1:28" s="4" customFormat="1" ht="27" customHeight="1" thickBot="1">
      <c r="A6" s="21" t="s">
        <v>68</v>
      </c>
      <c r="B6" s="21" t="s">
        <v>71</v>
      </c>
      <c r="C6" s="21" t="s">
        <v>72</v>
      </c>
      <c r="D6" s="67" t="s">
        <v>69</v>
      </c>
      <c r="E6" s="21" t="s">
        <v>67</v>
      </c>
      <c r="F6" s="21" t="s">
        <v>70</v>
      </c>
      <c r="G6" s="3"/>
      <c r="H6" s="3"/>
      <c r="I6" s="3"/>
      <c r="J6" s="3"/>
      <c r="K6" s="3"/>
      <c r="L6" s="3"/>
      <c r="M6" s="3"/>
      <c r="N6" s="3"/>
      <c r="O6" s="3"/>
      <c r="P6" s="3"/>
      <c r="Q6" s="3"/>
      <c r="R6" s="3"/>
      <c r="S6" s="3"/>
      <c r="T6" s="3"/>
      <c r="U6" s="3"/>
      <c r="V6" s="3"/>
      <c r="W6" s="3"/>
      <c r="X6" s="3"/>
      <c r="Y6" s="3"/>
      <c r="Z6" s="3"/>
      <c r="AA6" s="3"/>
      <c r="AB6" s="3"/>
    </row>
    <row r="7" spans="1:28" s="6" customFormat="1" ht="12">
      <c r="A7" s="9" t="str">
        <f>'Staffing Year 4'!A7</f>
        <v>Regular Ed Instructors</v>
      </c>
      <c r="B7" s="69">
        <f>'TBLA Expense'!G9+'TBLA Expense'!N9</f>
        <v>56.742008928052854</v>
      </c>
      <c r="C7" s="69">
        <f>D7/B7</f>
        <v>42694.24130501342</v>
      </c>
      <c r="D7" s="69">
        <f>J7</f>
        <v>2422557.0213055145</v>
      </c>
      <c r="E7" s="69">
        <f aca="true" t="shared" si="0" ref="E7:E46">D7*$G$5</f>
        <v>678315.9659655441</v>
      </c>
      <c r="F7" s="70">
        <f>D7+E7</f>
        <v>3100872.9872710584</v>
      </c>
      <c r="G7" s="3"/>
      <c r="H7" s="278">
        <f>'TBLA Expense'!G9*'TBLA Expense'!G36</f>
        <v>1171136.7508145818</v>
      </c>
      <c r="I7" s="278">
        <f>'TBLA Expense'!N9*'TBLA Expense'!N36</f>
        <v>1251420.2704909327</v>
      </c>
      <c r="J7" s="278">
        <f>H7+I7</f>
        <v>2422557.0213055145</v>
      </c>
      <c r="K7" s="288"/>
      <c r="L7" s="288"/>
      <c r="M7" s="288"/>
      <c r="N7" s="3"/>
      <c r="O7" s="3"/>
      <c r="P7" s="3"/>
      <c r="Q7" s="3"/>
      <c r="R7" s="3"/>
      <c r="S7" s="3"/>
      <c r="T7" s="3"/>
      <c r="U7" s="3"/>
      <c r="V7" s="3"/>
      <c r="W7" s="3"/>
      <c r="X7" s="3"/>
      <c r="Y7" s="3"/>
      <c r="Z7" s="3"/>
      <c r="AA7" s="3"/>
      <c r="AB7" s="3"/>
    </row>
    <row r="8" spans="1:28" s="6" customFormat="1" ht="12">
      <c r="A8" s="9" t="str">
        <f>'Staffing Year 4'!A8</f>
        <v>Teachers Assistants</v>
      </c>
      <c r="B8" s="69">
        <f>'TBLA Expense'!G10+'TBLA Expense'!N10</f>
        <v>21.091350427782604</v>
      </c>
      <c r="C8" s="69">
        <f aca="true" t="shared" si="1" ref="C8:C25">D8/B8</f>
        <v>23561.94208808387</v>
      </c>
      <c r="D8" s="69">
        <f aca="true" t="shared" si="2" ref="D8:D25">J8</f>
        <v>496953.17733889667</v>
      </c>
      <c r="E8" s="69">
        <f t="shared" si="0"/>
        <v>139146.88965489107</v>
      </c>
      <c r="F8" s="70">
        <f aca="true" t="shared" si="3" ref="F8:F46">D8+E8</f>
        <v>636100.0669937878</v>
      </c>
      <c r="G8" s="3"/>
      <c r="H8" s="278">
        <f>'TBLA Expense'!G10*'TBLA Expense'!G37</f>
        <v>358082.41427968896</v>
      </c>
      <c r="I8" s="278">
        <f>'TBLA Expense'!N10*'TBLA Expense'!N37</f>
        <v>138870.7630592077</v>
      </c>
      <c r="J8" s="278">
        <f aca="true" t="shared" si="4" ref="J8:J26">H8+I8</f>
        <v>496953.17733889667</v>
      </c>
      <c r="K8" s="288"/>
      <c r="L8" s="288"/>
      <c r="M8" s="288"/>
      <c r="N8" s="3"/>
      <c r="O8" s="3"/>
      <c r="P8" s="3"/>
      <c r="Q8" s="3"/>
      <c r="R8" s="3"/>
      <c r="S8" s="3"/>
      <c r="T8" s="3"/>
      <c r="U8" s="3"/>
      <c r="V8" s="3"/>
      <c r="W8" s="3"/>
      <c r="X8" s="3"/>
      <c r="Y8" s="3"/>
      <c r="Z8" s="3"/>
      <c r="AA8" s="3"/>
      <c r="AB8" s="3"/>
    </row>
    <row r="9" spans="1:28" s="6" customFormat="1" ht="12">
      <c r="A9" s="9" t="str">
        <f>'Staffing Year 4'!A9</f>
        <v>Special Ed Instructors</v>
      </c>
      <c r="B9" s="69">
        <f>'TBLA Expense'!G11+'TBLA Expense'!N11</f>
        <v>8.60686956521739</v>
      </c>
      <c r="C9" s="69">
        <f t="shared" si="1"/>
        <v>43611.349980690786</v>
      </c>
      <c r="D9" s="69">
        <f t="shared" si="2"/>
        <v>375357.20084685157</v>
      </c>
      <c r="E9" s="69">
        <f t="shared" si="0"/>
        <v>105100.01623711846</v>
      </c>
      <c r="F9" s="70">
        <f t="shared" si="3"/>
        <v>480457.21708397</v>
      </c>
      <c r="G9" s="3"/>
      <c r="H9" s="278">
        <f>'TBLA Expense'!G11*'TBLA Expense'!G38</f>
        <v>171278.4667709124</v>
      </c>
      <c r="I9" s="278">
        <f>'TBLA Expense'!N11*'TBLA Expense'!N38</f>
        <v>204078.7340759392</v>
      </c>
      <c r="J9" s="278">
        <f t="shared" si="4"/>
        <v>375357.20084685157</v>
      </c>
      <c r="K9" s="288"/>
      <c r="L9" s="288"/>
      <c r="M9" s="288"/>
      <c r="N9" s="3"/>
      <c r="O9" s="3"/>
      <c r="P9" s="3"/>
      <c r="Q9" s="3"/>
      <c r="R9" s="3"/>
      <c r="S9" s="3"/>
      <c r="T9" s="3"/>
      <c r="U9" s="3"/>
      <c r="V9" s="3"/>
      <c r="W9" s="3"/>
      <c r="X9" s="3"/>
      <c r="Y9" s="3"/>
      <c r="Z9" s="3"/>
      <c r="AA9" s="3"/>
      <c r="AB9" s="3"/>
    </row>
    <row r="10" spans="1:13" ht="12">
      <c r="A10" s="9" t="str">
        <f>'Staffing Year 4'!A10</f>
        <v>Specials Instructors (Music, Art, Spanish, PE)</v>
      </c>
      <c r="B10" s="69">
        <f>'TBLA Expense'!G12+'TBLA Expense'!N12</f>
        <v>19.662809170108453</v>
      </c>
      <c r="C10" s="69">
        <f t="shared" si="1"/>
        <v>44462.09153395705</v>
      </c>
      <c r="D10" s="69">
        <f t="shared" si="2"/>
        <v>874249.6211360921</v>
      </c>
      <c r="E10" s="69">
        <f t="shared" si="0"/>
        <v>244789.8939181058</v>
      </c>
      <c r="F10" s="70">
        <f t="shared" si="3"/>
        <v>1119039.515054198</v>
      </c>
      <c r="H10" s="278">
        <f>'TBLA Expense'!G12*'TBLA Expense'!G39</f>
        <v>235314.90659333003</v>
      </c>
      <c r="I10" s="278">
        <f>'TBLA Expense'!N12*'TBLA Expense'!N39</f>
        <v>638934.714542762</v>
      </c>
      <c r="J10" s="278">
        <f t="shared" si="4"/>
        <v>874249.6211360921</v>
      </c>
      <c r="K10" s="289"/>
      <c r="L10" s="289"/>
      <c r="M10" s="288"/>
    </row>
    <row r="11" spans="1:13" ht="12">
      <c r="A11" s="9" t="str">
        <f>'Staffing Year 4'!A11</f>
        <v>Library</v>
      </c>
      <c r="B11" s="69">
        <f>'TBLA Expense'!G13+'TBLA Expense'!N13</f>
        <v>0</v>
      </c>
      <c r="C11" s="69">
        <v>0</v>
      </c>
      <c r="D11" s="69">
        <f t="shared" si="2"/>
        <v>0</v>
      </c>
      <c r="E11" s="69">
        <f t="shared" si="0"/>
        <v>0</v>
      </c>
      <c r="F11" s="70">
        <f t="shared" si="3"/>
        <v>0</v>
      </c>
      <c r="G11" s="251"/>
      <c r="H11" s="278">
        <f>'TBLA Expense'!G13*'TBLA Expense'!G40</f>
        <v>0</v>
      </c>
      <c r="I11" s="278">
        <f>'TBLA Expense'!N13*'TBLA Expense'!N40</f>
        <v>0</v>
      </c>
      <c r="J11" s="278">
        <f t="shared" si="4"/>
        <v>0</v>
      </c>
      <c r="K11" s="289"/>
      <c r="L11" s="289"/>
      <c r="M11" s="288"/>
    </row>
    <row r="12" spans="1:13" ht="12">
      <c r="A12" s="9" t="str">
        <f>'Staffing Year 4'!A12</f>
        <v>Reading Intervention/Resource Teacher/HA Coord/Ac. Coach</v>
      </c>
      <c r="B12" s="69">
        <f>'TBLA Expense'!G14+'TBLA Expense'!N14</f>
        <v>3</v>
      </c>
      <c r="C12" s="69">
        <f t="shared" si="1"/>
        <v>28981.86228251</v>
      </c>
      <c r="D12" s="69">
        <f t="shared" si="2"/>
        <v>86945.58684753</v>
      </c>
      <c r="E12" s="69">
        <f t="shared" si="0"/>
        <v>24344.7643173084</v>
      </c>
      <c r="F12" s="70">
        <f t="shared" si="3"/>
        <v>111290.35116483839</v>
      </c>
      <c r="H12" s="278">
        <f>'TBLA Expense'!G14*'TBLA Expense'!G41</f>
        <v>0</v>
      </c>
      <c r="I12" s="278">
        <f>'TBLA Expense'!N14*'TBLA Expense'!N41</f>
        <v>86945.58684753</v>
      </c>
      <c r="J12" s="278">
        <f t="shared" si="4"/>
        <v>86945.58684753</v>
      </c>
      <c r="K12" s="289"/>
      <c r="L12" s="289"/>
      <c r="M12" s="288"/>
    </row>
    <row r="13" spans="1:13" ht="12">
      <c r="A13" s="9" t="str">
        <f>'Staffing Year 4'!A13</f>
        <v>Additional Teachers (account for uneven splits)/Title I Teachers</v>
      </c>
      <c r="B13" s="69">
        <f>'TBLA Expense'!G15+'TBLA Expense'!N15</f>
        <v>5</v>
      </c>
      <c r="C13" s="69">
        <f t="shared" si="1"/>
        <v>42435.647894811744</v>
      </c>
      <c r="D13" s="69">
        <f t="shared" si="2"/>
        <v>212178.23947405873</v>
      </c>
      <c r="E13" s="69">
        <f t="shared" si="0"/>
        <v>59409.90705273645</v>
      </c>
      <c r="F13" s="70">
        <f t="shared" si="3"/>
        <v>271588.1465267952</v>
      </c>
      <c r="H13" s="278">
        <f>'TBLA Expense'!G15*'TBLA Expense'!G42</f>
        <v>83248.3208</v>
      </c>
      <c r="I13" s="278">
        <f>'TBLA Expense'!N15*'TBLA Expense'!N42</f>
        <v>128929.91867405875</v>
      </c>
      <c r="J13" s="278">
        <f t="shared" si="4"/>
        <v>212178.23947405873</v>
      </c>
      <c r="K13" s="289"/>
      <c r="L13" s="289"/>
      <c r="M13" s="288"/>
    </row>
    <row r="14" spans="1:13" ht="12">
      <c r="A14" s="9" t="str">
        <f>'Staffing Year 4'!A14</f>
        <v>Teaching Fellows/Interns</v>
      </c>
      <c r="B14" s="69">
        <f>'TBLA Expense'!G16+'TBLA Expense'!N16</f>
        <v>0</v>
      </c>
      <c r="C14" s="69"/>
      <c r="D14" s="69">
        <f t="shared" si="2"/>
        <v>0</v>
      </c>
      <c r="E14" s="69">
        <f t="shared" si="0"/>
        <v>0</v>
      </c>
      <c r="F14" s="70">
        <f t="shared" si="3"/>
        <v>0</v>
      </c>
      <c r="H14" s="278">
        <f>'TBLA Expense'!G16*'TBLA Expense'!G43</f>
        <v>0</v>
      </c>
      <c r="I14" s="278">
        <f>'TBLA Expense'!N16*'TBLA Expense'!N43</f>
        <v>0</v>
      </c>
      <c r="J14" s="278">
        <f t="shared" si="4"/>
        <v>0</v>
      </c>
      <c r="K14" s="289"/>
      <c r="L14" s="289"/>
      <c r="M14" s="288"/>
    </row>
    <row r="15" spans="1:28" s="6" customFormat="1" ht="12">
      <c r="A15" s="9" t="str">
        <f>'Staffing Year 4'!A15</f>
        <v>Additional Tas / Special Ed Para Professionals</v>
      </c>
      <c r="B15" s="69">
        <f>'TBLA Expense'!G17+'TBLA Expense'!N17</f>
        <v>11.572085442552538</v>
      </c>
      <c r="C15" s="69">
        <f t="shared" si="1"/>
        <v>20876.683782111522</v>
      </c>
      <c r="D15" s="69">
        <f t="shared" si="2"/>
        <v>241586.7684837454</v>
      </c>
      <c r="E15" s="69">
        <f t="shared" si="0"/>
        <v>67644.29517544871</v>
      </c>
      <c r="F15" s="70">
        <f t="shared" si="3"/>
        <v>309231.0636591941</v>
      </c>
      <c r="G15" s="3"/>
      <c r="H15" s="278">
        <f>'TBLA Expense'!G17*'TBLA Expense'!G44</f>
        <v>109381.77518768136</v>
      </c>
      <c r="I15" s="278">
        <f>'TBLA Expense'!N17*'TBLA Expense'!N44</f>
        <v>132204.99329606403</v>
      </c>
      <c r="J15" s="278">
        <f t="shared" si="4"/>
        <v>241586.7684837454</v>
      </c>
      <c r="K15" s="288"/>
      <c r="L15" s="288"/>
      <c r="M15" s="288"/>
      <c r="N15" s="3"/>
      <c r="O15" s="3"/>
      <c r="P15" s="3"/>
      <c r="Q15" s="3"/>
      <c r="R15" s="3"/>
      <c r="S15" s="3"/>
      <c r="T15" s="3"/>
      <c r="U15" s="3"/>
      <c r="V15" s="3"/>
      <c r="W15" s="3"/>
      <c r="X15" s="3"/>
      <c r="Y15" s="3"/>
      <c r="Z15" s="3"/>
      <c r="AA15" s="3"/>
      <c r="AB15" s="3"/>
    </row>
    <row r="16" spans="1:13" ht="12">
      <c r="A16" s="9" t="str">
        <f>'Staffing Year 4'!A16</f>
        <v>Enrollment Coordinator</v>
      </c>
      <c r="B16" s="69">
        <f>'TBLA Expense'!G18+'TBLA Expense'!N18</f>
        <v>0</v>
      </c>
      <c r="C16" s="69"/>
      <c r="D16" s="69">
        <f t="shared" si="2"/>
        <v>0</v>
      </c>
      <c r="E16" s="69">
        <f t="shared" si="0"/>
        <v>0</v>
      </c>
      <c r="F16" s="70">
        <f t="shared" si="3"/>
        <v>0</v>
      </c>
      <c r="H16" s="278">
        <f>'TBLA Expense'!G18*'TBLA Expense'!G45</f>
        <v>0</v>
      </c>
      <c r="I16" s="278">
        <f>'TBLA Expense'!N18*'TBLA Expense'!N45</f>
        <v>0</v>
      </c>
      <c r="J16" s="278">
        <f t="shared" si="4"/>
        <v>0</v>
      </c>
      <c r="K16" s="289"/>
      <c r="L16" s="289"/>
      <c r="M16" s="288"/>
    </row>
    <row r="17" spans="1:13" ht="12">
      <c r="A17" s="9" t="str">
        <f>'Staffing Year 4'!A17</f>
        <v>Principals</v>
      </c>
      <c r="B17" s="69">
        <f>'TBLA Expense'!G19+'TBLA Expense'!N19</f>
        <v>2</v>
      </c>
      <c r="C17" s="69">
        <f t="shared" si="1"/>
        <v>95215.26691500001</v>
      </c>
      <c r="D17" s="69">
        <f t="shared" si="2"/>
        <v>190430.53383000003</v>
      </c>
      <c r="E17" s="69">
        <f t="shared" si="0"/>
        <v>53320.54947240002</v>
      </c>
      <c r="F17" s="70">
        <f t="shared" si="3"/>
        <v>243751.08330240005</v>
      </c>
      <c r="H17" s="278">
        <f>'TBLA Expense'!G19*'TBLA Expense'!G46</f>
        <v>88451.34085000001</v>
      </c>
      <c r="I17" s="278">
        <f>'TBLA Expense'!N19*'TBLA Expense'!N46</f>
        <v>101979.19298</v>
      </c>
      <c r="J17" s="278">
        <f t="shared" si="4"/>
        <v>190430.53383000003</v>
      </c>
      <c r="K17" s="289"/>
      <c r="L17" s="289"/>
      <c r="M17" s="288"/>
    </row>
    <row r="18" spans="1:13" ht="12">
      <c r="A18" s="9" t="str">
        <f>'Staffing Year 4'!A18</f>
        <v>Assistant Principals/Instructional Coaches</v>
      </c>
      <c r="B18" s="69">
        <f>'TBLA Expense'!G20+'TBLA Expense'!N20</f>
        <v>4</v>
      </c>
      <c r="C18" s="69">
        <f t="shared" si="1"/>
        <v>57134.363169050004</v>
      </c>
      <c r="D18" s="69">
        <f t="shared" si="2"/>
        <v>228537.45267620002</v>
      </c>
      <c r="E18" s="69">
        <f t="shared" si="0"/>
        <v>63990.486749336014</v>
      </c>
      <c r="F18" s="70">
        <f t="shared" si="3"/>
        <v>292527.939425536</v>
      </c>
      <c r="H18" s="278">
        <f>'TBLA Expense'!G20*'TBLA Expense'!G47</f>
        <v>88055.9113262</v>
      </c>
      <c r="I18" s="278">
        <f>'TBLA Expense'!N20*'TBLA Expense'!N47</f>
        <v>140481.54135</v>
      </c>
      <c r="J18" s="278">
        <f t="shared" si="4"/>
        <v>228537.45267620002</v>
      </c>
      <c r="K18" s="289"/>
      <c r="L18" s="289"/>
      <c r="M18" s="288"/>
    </row>
    <row r="19" spans="1:13" ht="12">
      <c r="A19" s="9" t="str">
        <f>'Staffing Year 4'!A19</f>
        <v>Director of Operations</v>
      </c>
      <c r="B19" s="69">
        <f>'TBLA Expense'!G21+'TBLA Expense'!N21</f>
        <v>0</v>
      </c>
      <c r="C19" s="69"/>
      <c r="D19" s="69">
        <f t="shared" si="2"/>
        <v>0</v>
      </c>
      <c r="E19" s="69">
        <f t="shared" si="0"/>
        <v>0</v>
      </c>
      <c r="F19" s="70">
        <f t="shared" si="3"/>
        <v>0</v>
      </c>
      <c r="H19" s="278">
        <f>'TBLA Expense'!G21*'TBLA Expense'!G48</f>
        <v>0</v>
      </c>
      <c r="I19" s="278">
        <f>'TBLA Expense'!N21*'TBLA Expense'!N48</f>
        <v>0</v>
      </c>
      <c r="J19" s="278">
        <f t="shared" si="4"/>
        <v>0</v>
      </c>
      <c r="K19" s="289"/>
      <c r="L19" s="289"/>
      <c r="M19" s="288"/>
    </row>
    <row r="20" spans="1:13" ht="12">
      <c r="A20" s="9" t="str">
        <f>'Staffing Year 4'!A20</f>
        <v>Custodial</v>
      </c>
      <c r="B20" s="69">
        <f>'TBLA Expense'!G22+'TBLA Expense'!N22</f>
        <v>13</v>
      </c>
      <c r="C20" s="69">
        <f t="shared" si="1"/>
        <v>28245.51487574154</v>
      </c>
      <c r="D20" s="69">
        <f t="shared" si="2"/>
        <v>367191.69338464004</v>
      </c>
      <c r="E20" s="69">
        <f t="shared" si="0"/>
        <v>102813.67414769922</v>
      </c>
      <c r="F20" s="70">
        <f t="shared" si="3"/>
        <v>470005.36753233924</v>
      </c>
      <c r="H20" s="278">
        <f>'TBLA Expense'!G22*'TBLA Expense'!G49</f>
        <v>165803.18308773602</v>
      </c>
      <c r="I20" s="278">
        <f>'TBLA Expense'!N22*'TBLA Expense'!N49</f>
        <v>201388.51029690405</v>
      </c>
      <c r="J20" s="278">
        <f t="shared" si="4"/>
        <v>367191.69338464004</v>
      </c>
      <c r="K20" s="289"/>
      <c r="L20" s="289"/>
      <c r="M20" s="288"/>
    </row>
    <row r="21" spans="1:13" ht="12">
      <c r="A21" s="9" t="str">
        <f>'Staffing Year 4'!A21</f>
        <v>Administrative/Clerical Staff</v>
      </c>
      <c r="B21" s="69">
        <f>'TBLA Expense'!G23+'TBLA Expense'!N23</f>
        <v>5</v>
      </c>
      <c r="C21" s="69">
        <f t="shared" si="1"/>
        <v>43432.70519488376</v>
      </c>
      <c r="D21" s="69">
        <f t="shared" si="2"/>
        <v>217163.5259744188</v>
      </c>
      <c r="E21" s="69">
        <f t="shared" si="0"/>
        <v>60805.78727283727</v>
      </c>
      <c r="F21" s="70">
        <f t="shared" si="3"/>
        <v>277969.31324725604</v>
      </c>
      <c r="H21" s="278">
        <f>'TBLA Expense'!G23*'TBLA Expense'!G50</f>
        <v>97773.07157158</v>
      </c>
      <c r="I21" s="278">
        <f>'TBLA Expense'!N23*'TBLA Expense'!N50</f>
        <v>119390.45440283878</v>
      </c>
      <c r="J21" s="278">
        <f t="shared" si="4"/>
        <v>217163.5259744188</v>
      </c>
      <c r="K21" s="289"/>
      <c r="L21" s="289"/>
      <c r="M21" s="288"/>
    </row>
    <row r="22" spans="1:13" ht="12">
      <c r="A22" s="9" t="str">
        <f>'Staffing Year 4'!A22</f>
        <v>Other student services staff (Social Worker/Counselor)</v>
      </c>
      <c r="B22" s="69">
        <f>'TBLA Expense'!G24+'TBLA Expense'!N24</f>
        <v>6.221643171087212</v>
      </c>
      <c r="C22" s="69">
        <f t="shared" si="1"/>
        <v>37234.771267054035</v>
      </c>
      <c r="D22" s="69">
        <f t="shared" si="2"/>
        <v>231661.4603806611</v>
      </c>
      <c r="E22" s="69">
        <f t="shared" si="0"/>
        <v>64865.20890658511</v>
      </c>
      <c r="F22" s="70">
        <f t="shared" si="3"/>
        <v>296526.6692872462</v>
      </c>
      <c r="H22" s="278">
        <f>'TBLA Expense'!G24*'TBLA Expense'!G51</f>
        <v>36507.51048283</v>
      </c>
      <c r="I22" s="278">
        <f>'TBLA Expense'!N24*'TBLA Expense'!N51</f>
        <v>195153.9498978311</v>
      </c>
      <c r="J22" s="278">
        <f t="shared" si="4"/>
        <v>231661.4603806611</v>
      </c>
      <c r="K22" s="289"/>
      <c r="L22" s="289"/>
      <c r="M22" s="288"/>
    </row>
    <row r="23" spans="1:28" s="6" customFormat="1" ht="12">
      <c r="A23" s="9" t="str">
        <f>'Staffing Year 4'!A23</f>
        <v>Behavioral Coordinator/Non-Instructional Aide</v>
      </c>
      <c r="B23" s="69">
        <f>'TBLA Expense'!G25+'TBLA Expense'!N25</f>
        <v>5</v>
      </c>
      <c r="C23" s="69">
        <f t="shared" si="1"/>
        <v>23961.307983247465</v>
      </c>
      <c r="D23" s="69">
        <f t="shared" si="2"/>
        <v>119806.53991623732</v>
      </c>
      <c r="E23" s="69">
        <f t="shared" si="0"/>
        <v>33545.83117654645</v>
      </c>
      <c r="F23" s="70">
        <f t="shared" si="3"/>
        <v>153352.37109278378</v>
      </c>
      <c r="G23" s="3"/>
      <c r="H23" s="278">
        <f>'TBLA Expense'!G25*'TBLA Expense'!G52</f>
        <v>50417.2642845</v>
      </c>
      <c r="I23" s="278">
        <f>'TBLA Expense'!N25*'TBLA Expense'!N52</f>
        <v>69389.27563173731</v>
      </c>
      <c r="J23" s="278">
        <f t="shared" si="4"/>
        <v>119806.53991623732</v>
      </c>
      <c r="K23" s="288"/>
      <c r="L23" s="288"/>
      <c r="M23" s="288"/>
      <c r="N23" s="3"/>
      <c r="O23" s="3"/>
      <c r="P23" s="3"/>
      <c r="Q23" s="3"/>
      <c r="R23" s="3"/>
      <c r="S23" s="3"/>
      <c r="T23" s="3"/>
      <c r="U23" s="3"/>
      <c r="V23" s="3"/>
      <c r="W23" s="3"/>
      <c r="X23" s="3"/>
      <c r="Y23" s="3"/>
      <c r="Z23" s="3"/>
      <c r="AA23" s="3"/>
      <c r="AB23" s="3"/>
    </row>
    <row r="24" spans="1:13" ht="12">
      <c r="A24" s="9" t="str">
        <f>'Staffing Year 4'!A24</f>
        <v>Nurse</v>
      </c>
      <c r="B24" s="69">
        <f>'TBLA Expense'!G26+'TBLA Expense'!N26</f>
        <v>1</v>
      </c>
      <c r="C24" s="69">
        <f t="shared" si="1"/>
        <v>51249.747492500006</v>
      </c>
      <c r="D24" s="69">
        <f t="shared" si="2"/>
        <v>51249.747492500006</v>
      </c>
      <c r="E24" s="69">
        <f t="shared" si="0"/>
        <v>14349.929297900004</v>
      </c>
      <c r="F24" s="70">
        <f t="shared" si="3"/>
        <v>65599.67679040002</v>
      </c>
      <c r="H24" s="278">
        <f>'TBLA Expense'!G26*'TBLA Expense'!G53</f>
        <v>51249.747492500006</v>
      </c>
      <c r="I24" s="278">
        <f>'TBLA Expense'!N26*'TBLA Expense'!N53</f>
        <v>0</v>
      </c>
      <c r="J24" s="278">
        <f t="shared" si="4"/>
        <v>51249.747492500006</v>
      </c>
      <c r="K24" s="289"/>
      <c r="L24" s="289"/>
      <c r="M24" s="288"/>
    </row>
    <row r="25" spans="1:13" ht="12">
      <c r="A25" s="9" t="str">
        <f>'Staffing Year 4'!A25</f>
        <v>Dean of Scholars</v>
      </c>
      <c r="B25" s="69">
        <f>'TBLA Expense'!G27+'TBLA Expense'!N27</f>
        <v>3.2382980281754614</v>
      </c>
      <c r="C25" s="69">
        <f t="shared" si="1"/>
        <v>46519.63884064756</v>
      </c>
      <c r="D25" s="69">
        <f t="shared" si="2"/>
        <v>150644.4547291036</v>
      </c>
      <c r="E25" s="69">
        <f t="shared" si="0"/>
        <v>42180.44732414901</v>
      </c>
      <c r="F25" s="70">
        <f t="shared" si="3"/>
        <v>192824.90205325262</v>
      </c>
      <c r="H25" s="278">
        <f>'TBLA Expense'!G27*'TBLA Expense'!G54</f>
        <v>48881.33276574</v>
      </c>
      <c r="I25" s="278">
        <f>'TBLA Expense'!N27*'TBLA Expense'!N54</f>
        <v>101763.1219633636</v>
      </c>
      <c r="J25" s="278">
        <f t="shared" si="4"/>
        <v>150644.4547291036</v>
      </c>
      <c r="K25" s="289"/>
      <c r="L25" s="289"/>
      <c r="M25" s="288"/>
    </row>
    <row r="26" spans="1:13" ht="12">
      <c r="A26" s="9" t="str">
        <f>'Staffing Year 4'!A26</f>
        <v>Director of Special Education</v>
      </c>
      <c r="B26" s="69">
        <f>'TBLA Expense'!G28+'TBLA Expense'!N28</f>
        <v>0</v>
      </c>
      <c r="C26" s="68">
        <f>('TBLA Expense'!E55+'TBLA Expense'!L55)/2</f>
        <v>34898.13105</v>
      </c>
      <c r="D26" s="69">
        <f>B26*C26</f>
        <v>0</v>
      </c>
      <c r="E26" s="69">
        <f t="shared" si="0"/>
        <v>0</v>
      </c>
      <c r="F26" s="70">
        <f t="shared" si="3"/>
        <v>0</v>
      </c>
      <c r="H26" s="278">
        <f>'TBLA Expense'!G28*'TBLA Expense'!G55</f>
        <v>0</v>
      </c>
      <c r="I26" s="278">
        <f>'TBLA Expense'!N28*'TBLA Expense'!N55</f>
        <v>0</v>
      </c>
      <c r="J26" s="278">
        <f t="shared" si="4"/>
        <v>0</v>
      </c>
      <c r="K26" s="289"/>
      <c r="L26" s="289"/>
      <c r="M26" s="288"/>
    </row>
    <row r="27" spans="1:13" ht="12">
      <c r="A27" s="9"/>
      <c r="B27" s="69"/>
      <c r="C27" s="68"/>
      <c r="D27" s="69">
        <f>B27*C27</f>
        <v>0</v>
      </c>
      <c r="E27" s="69">
        <f t="shared" si="0"/>
        <v>0</v>
      </c>
      <c r="F27" s="70">
        <f t="shared" si="3"/>
        <v>0</v>
      </c>
      <c r="H27" s="278">
        <f>'TBLA Expense'!G29*'TBLA Expense'!G56</f>
        <v>0</v>
      </c>
      <c r="I27" s="278">
        <f>'TBLA Expense'!N29*'TBLA Expense'!N56</f>
        <v>0</v>
      </c>
      <c r="J27" s="99"/>
      <c r="K27" s="289"/>
      <c r="L27" s="289"/>
      <c r="M27" s="289"/>
    </row>
    <row r="28" spans="1:6" ht="12">
      <c r="A28" s="9"/>
      <c r="B28" s="69"/>
      <c r="C28" s="68"/>
      <c r="D28" s="69">
        <f aca="true" t="shared" si="5" ref="D28:D46">B28*C28</f>
        <v>0</v>
      </c>
      <c r="E28" s="69">
        <f t="shared" si="0"/>
        <v>0</v>
      </c>
      <c r="F28" s="70">
        <f t="shared" si="3"/>
        <v>0</v>
      </c>
    </row>
    <row r="29" spans="1:6" ht="12">
      <c r="A29" s="9"/>
      <c r="B29" s="69"/>
      <c r="C29" s="68"/>
      <c r="D29" s="69">
        <f t="shared" si="5"/>
        <v>0</v>
      </c>
      <c r="E29" s="69">
        <f t="shared" si="0"/>
        <v>0</v>
      </c>
      <c r="F29" s="70">
        <f t="shared" si="3"/>
        <v>0</v>
      </c>
    </row>
    <row r="30" spans="1:6" ht="12">
      <c r="A30" s="9"/>
      <c r="B30" s="69"/>
      <c r="C30" s="68"/>
      <c r="D30" s="69">
        <f t="shared" si="5"/>
        <v>0</v>
      </c>
      <c r="E30" s="69">
        <f t="shared" si="0"/>
        <v>0</v>
      </c>
      <c r="F30" s="70">
        <f t="shared" si="3"/>
        <v>0</v>
      </c>
    </row>
    <row r="31" spans="1:6" ht="12">
      <c r="A31" s="9"/>
      <c r="B31" s="69"/>
      <c r="C31" s="68"/>
      <c r="D31" s="69">
        <f t="shared" si="5"/>
        <v>0</v>
      </c>
      <c r="E31" s="69">
        <f t="shared" si="0"/>
        <v>0</v>
      </c>
      <c r="F31" s="70">
        <f t="shared" si="3"/>
        <v>0</v>
      </c>
    </row>
    <row r="32" spans="1:6" ht="12">
      <c r="A32" s="9"/>
      <c r="B32" s="69"/>
      <c r="C32" s="68"/>
      <c r="D32" s="69">
        <f t="shared" si="5"/>
        <v>0</v>
      </c>
      <c r="E32" s="69">
        <f t="shared" si="0"/>
        <v>0</v>
      </c>
      <c r="F32" s="70">
        <f t="shared" si="3"/>
        <v>0</v>
      </c>
    </row>
    <row r="33" spans="1:6" ht="12">
      <c r="A33" s="9"/>
      <c r="B33" s="69"/>
      <c r="C33" s="68"/>
      <c r="D33" s="69">
        <f t="shared" si="5"/>
        <v>0</v>
      </c>
      <c r="E33" s="69">
        <f t="shared" si="0"/>
        <v>0</v>
      </c>
      <c r="F33" s="70">
        <f t="shared" si="3"/>
        <v>0</v>
      </c>
    </row>
    <row r="34" spans="1:6" ht="12">
      <c r="A34" s="55"/>
      <c r="B34" s="55"/>
      <c r="C34" s="97"/>
      <c r="D34" s="69">
        <f t="shared" si="5"/>
        <v>0</v>
      </c>
      <c r="E34" s="69">
        <f t="shared" si="0"/>
        <v>0</v>
      </c>
      <c r="F34" s="70">
        <f t="shared" si="3"/>
        <v>0</v>
      </c>
    </row>
    <row r="35" spans="1:6" ht="12">
      <c r="A35" s="55"/>
      <c r="B35" s="55"/>
      <c r="C35" s="97"/>
      <c r="D35" s="69">
        <f t="shared" si="5"/>
        <v>0</v>
      </c>
      <c r="E35" s="69">
        <f t="shared" si="0"/>
        <v>0</v>
      </c>
      <c r="F35" s="70">
        <f t="shared" si="3"/>
        <v>0</v>
      </c>
    </row>
    <row r="36" spans="1:6" ht="12">
      <c r="A36" s="55"/>
      <c r="B36" s="55"/>
      <c r="C36" s="97"/>
      <c r="D36" s="69">
        <f t="shared" si="5"/>
        <v>0</v>
      </c>
      <c r="E36" s="69">
        <f t="shared" si="0"/>
        <v>0</v>
      </c>
      <c r="F36" s="70">
        <f t="shared" si="3"/>
        <v>0</v>
      </c>
    </row>
    <row r="37" spans="1:6" ht="12">
      <c r="A37" s="55"/>
      <c r="B37" s="55"/>
      <c r="C37" s="97"/>
      <c r="D37" s="69">
        <f t="shared" si="5"/>
        <v>0</v>
      </c>
      <c r="E37" s="69">
        <f t="shared" si="0"/>
        <v>0</v>
      </c>
      <c r="F37" s="70">
        <f t="shared" si="3"/>
        <v>0</v>
      </c>
    </row>
    <row r="38" spans="1:6" ht="12">
      <c r="A38" s="55"/>
      <c r="B38" s="55"/>
      <c r="C38" s="97"/>
      <c r="D38" s="69">
        <f t="shared" si="5"/>
        <v>0</v>
      </c>
      <c r="E38" s="69">
        <f t="shared" si="0"/>
        <v>0</v>
      </c>
      <c r="F38" s="70">
        <f t="shared" si="3"/>
        <v>0</v>
      </c>
    </row>
    <row r="39" spans="1:6" ht="12">
      <c r="A39" s="55"/>
      <c r="B39" s="55"/>
      <c r="C39" s="97"/>
      <c r="D39" s="69">
        <f t="shared" si="5"/>
        <v>0</v>
      </c>
      <c r="E39" s="69">
        <f t="shared" si="0"/>
        <v>0</v>
      </c>
      <c r="F39" s="70">
        <f t="shared" si="3"/>
        <v>0</v>
      </c>
    </row>
    <row r="40" spans="1:6" ht="12">
      <c r="A40" s="55"/>
      <c r="B40" s="55"/>
      <c r="C40" s="97"/>
      <c r="D40" s="69">
        <f t="shared" si="5"/>
        <v>0</v>
      </c>
      <c r="E40" s="69">
        <f t="shared" si="0"/>
        <v>0</v>
      </c>
      <c r="F40" s="70">
        <f t="shared" si="3"/>
        <v>0</v>
      </c>
    </row>
    <row r="41" spans="1:6" ht="12">
      <c r="A41" s="55"/>
      <c r="B41" s="55"/>
      <c r="C41" s="97"/>
      <c r="D41" s="69">
        <f t="shared" si="5"/>
        <v>0</v>
      </c>
      <c r="E41" s="69">
        <f t="shared" si="0"/>
        <v>0</v>
      </c>
      <c r="F41" s="70">
        <f t="shared" si="3"/>
        <v>0</v>
      </c>
    </row>
    <row r="42" spans="1:6" ht="12">
      <c r="A42" s="100"/>
      <c r="B42" s="100"/>
      <c r="C42" s="101"/>
      <c r="D42" s="69">
        <f t="shared" si="5"/>
        <v>0</v>
      </c>
      <c r="E42" s="69">
        <f t="shared" si="0"/>
        <v>0</v>
      </c>
      <c r="F42" s="70">
        <f t="shared" si="3"/>
        <v>0</v>
      </c>
    </row>
    <row r="43" spans="1:6" ht="12">
      <c r="A43" s="100"/>
      <c r="B43" s="100"/>
      <c r="C43" s="101"/>
      <c r="D43" s="69">
        <f t="shared" si="5"/>
        <v>0</v>
      </c>
      <c r="E43" s="69">
        <f t="shared" si="0"/>
        <v>0</v>
      </c>
      <c r="F43" s="70">
        <f t="shared" si="3"/>
        <v>0</v>
      </c>
    </row>
    <row r="44" spans="1:6" ht="12">
      <c r="A44" s="100"/>
      <c r="B44" s="100"/>
      <c r="C44" s="101"/>
      <c r="D44" s="69">
        <f t="shared" si="5"/>
        <v>0</v>
      </c>
      <c r="E44" s="69">
        <f t="shared" si="0"/>
        <v>0</v>
      </c>
      <c r="F44" s="70">
        <f t="shared" si="3"/>
        <v>0</v>
      </c>
    </row>
    <row r="45" spans="1:6" ht="12">
      <c r="A45" s="100"/>
      <c r="B45" s="100"/>
      <c r="C45" s="101"/>
      <c r="D45" s="69">
        <f t="shared" si="5"/>
        <v>0</v>
      </c>
      <c r="E45" s="69">
        <f t="shared" si="0"/>
        <v>0</v>
      </c>
      <c r="F45" s="70">
        <f t="shared" si="3"/>
        <v>0</v>
      </c>
    </row>
    <row r="46" spans="1:6" ht="12.75" thickBot="1">
      <c r="A46" s="100"/>
      <c r="B46" s="100"/>
      <c r="C46" s="101"/>
      <c r="D46" s="69">
        <f t="shared" si="5"/>
        <v>0</v>
      </c>
      <c r="E46" s="69">
        <f t="shared" si="0"/>
        <v>0</v>
      </c>
      <c r="F46" s="70">
        <f t="shared" si="3"/>
        <v>0</v>
      </c>
    </row>
    <row r="47" spans="1:6" ht="12.75" thickBot="1">
      <c r="A47" s="8" t="s">
        <v>40</v>
      </c>
      <c r="B47" s="274">
        <f>SUM(B7:B46)</f>
        <v>165.13506473297647</v>
      </c>
      <c r="C47" s="103"/>
      <c r="D47" s="104">
        <f>SUM(D7:D46)</f>
        <v>6266513.02381645</v>
      </c>
      <c r="E47" s="104">
        <f>SUM(E7:E46)</f>
        <v>1754623.6466686064</v>
      </c>
      <c r="F47" s="105">
        <f>SUM(F7:F46)</f>
        <v>8021136.670485056</v>
      </c>
    </row>
    <row r="48" spans="2:5" ht="12">
      <c r="B48" s="275">
        <f>'TBLA Expense'!G29+'TBLA Expense'!N29-B47</f>
        <v>0</v>
      </c>
      <c r="D48" s="249">
        <f>D47-'Combined '!G36</f>
        <v>0</v>
      </c>
      <c r="E48" s="249"/>
    </row>
    <row r="49" spans="4:5" ht="12">
      <c r="D49" s="249"/>
      <c r="E49" s="249"/>
    </row>
    <row r="60" spans="6:29" ht="12">
      <c r="F60" s="48"/>
      <c r="G60" s="48"/>
      <c r="H60" s="48"/>
      <c r="I60" s="48"/>
      <c r="J60" s="48"/>
      <c r="K60" s="48"/>
      <c r="L60" s="48"/>
      <c r="M60" s="48"/>
      <c r="N60" s="48"/>
      <c r="O60" s="48"/>
      <c r="P60" s="48"/>
      <c r="Q60" s="48"/>
      <c r="R60" s="48"/>
      <c r="S60" s="48"/>
      <c r="T60" s="48"/>
      <c r="U60" s="48"/>
      <c r="V60" s="48"/>
      <c r="W60" s="48"/>
      <c r="X60" s="48"/>
      <c r="Y60" s="48"/>
      <c r="Z60" s="48"/>
      <c r="AA60" s="48"/>
      <c r="AB60" s="48"/>
      <c r="AC60" s="48"/>
    </row>
  </sheetData>
  <sheetProtection/>
  <mergeCells count="4">
    <mergeCell ref="A5:F5"/>
    <mergeCell ref="A1:F1"/>
    <mergeCell ref="A2:F2"/>
    <mergeCell ref="A4:F4"/>
  </mergeCells>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N145"/>
  <sheetViews>
    <sheetView workbookViewId="0" topLeftCell="A1">
      <selection activeCell="A1" sqref="A1"/>
    </sheetView>
  </sheetViews>
  <sheetFormatPr defaultColWidth="8.8515625" defaultRowHeight="15"/>
  <cols>
    <col min="1" max="1" width="58.7109375" style="0" bestFit="1" customWidth="1"/>
    <col min="2" max="2" width="9.7109375" style="0" customWidth="1"/>
    <col min="3" max="3" width="10.8515625" style="0" customWidth="1"/>
    <col min="4" max="7" width="9.7109375" style="0" customWidth="1"/>
    <col min="8" max="8" width="8.8515625" style="0" customWidth="1"/>
    <col min="9" max="14" width="9.7109375" style="0" customWidth="1"/>
  </cols>
  <sheetData>
    <row r="1" spans="1:14" ht="13.5">
      <c r="A1" s="262"/>
      <c r="B1" s="262"/>
      <c r="C1" s="262"/>
      <c r="D1" s="262"/>
      <c r="E1" s="262"/>
      <c r="F1" s="262"/>
      <c r="G1" s="262"/>
      <c r="I1" s="262"/>
      <c r="J1" s="262"/>
      <c r="K1" s="262"/>
      <c r="L1" s="262"/>
      <c r="M1" s="262"/>
      <c r="N1" s="262"/>
    </row>
    <row r="2" spans="1:14" ht="13.5">
      <c r="A2" s="263"/>
      <c r="B2" s="264"/>
      <c r="C2" s="264"/>
      <c r="D2" s="264"/>
      <c r="E2" s="264"/>
      <c r="F2" s="264"/>
      <c r="G2" s="264"/>
      <c r="I2" s="264"/>
      <c r="J2" s="264"/>
      <c r="K2" s="264"/>
      <c r="L2" s="264"/>
      <c r="M2" s="264"/>
      <c r="N2" s="264"/>
    </row>
    <row r="3" spans="1:14" ht="13.5">
      <c r="A3" s="212"/>
      <c r="B3" s="265" t="s">
        <v>253</v>
      </c>
      <c r="C3" s="266"/>
      <c r="D3" s="266"/>
      <c r="E3" s="266"/>
      <c r="F3" s="266"/>
      <c r="G3" s="266"/>
      <c r="I3" s="265" t="s">
        <v>265</v>
      </c>
      <c r="J3" s="266"/>
      <c r="K3" s="266"/>
      <c r="L3" s="266"/>
      <c r="M3" s="266"/>
      <c r="N3" s="266"/>
    </row>
    <row r="4" spans="1:14" ht="13.5">
      <c r="A4" s="212"/>
      <c r="B4" s="212"/>
      <c r="C4" s="212"/>
      <c r="D4" s="212"/>
      <c r="E4" s="212"/>
      <c r="F4" s="212"/>
      <c r="G4" s="212"/>
      <c r="I4" s="212"/>
      <c r="J4" s="212"/>
      <c r="K4" s="212"/>
      <c r="L4" s="212"/>
      <c r="M4" s="212"/>
      <c r="N4" s="212"/>
    </row>
    <row r="5" spans="1:14" ht="13.5">
      <c r="A5" s="267" t="s">
        <v>173</v>
      </c>
      <c r="B5" s="256">
        <v>2016</v>
      </c>
      <c r="C5" s="256">
        <v>2017</v>
      </c>
      <c r="D5" s="256">
        <v>2018</v>
      </c>
      <c r="E5" s="256">
        <v>2019</v>
      </c>
      <c r="F5" s="256">
        <v>2020</v>
      </c>
      <c r="G5" s="256">
        <v>2021</v>
      </c>
      <c r="I5" s="256">
        <v>2016</v>
      </c>
      <c r="J5" s="256">
        <v>2017</v>
      </c>
      <c r="K5" s="256">
        <v>2018</v>
      </c>
      <c r="L5" s="256">
        <v>2019</v>
      </c>
      <c r="M5" s="256">
        <v>2020</v>
      </c>
      <c r="N5" s="256">
        <v>2021</v>
      </c>
    </row>
    <row r="6" spans="1:14" ht="13.5">
      <c r="A6" s="267" t="s">
        <v>172</v>
      </c>
      <c r="B6" s="268">
        <v>666</v>
      </c>
      <c r="C6" s="268">
        <v>666</v>
      </c>
      <c r="D6" s="268">
        <v>666</v>
      </c>
      <c r="E6" s="268">
        <v>666</v>
      </c>
      <c r="F6" s="268">
        <v>666</v>
      </c>
      <c r="G6" s="268">
        <v>666</v>
      </c>
      <c r="I6" s="268">
        <v>607</v>
      </c>
      <c r="J6" s="268">
        <v>607</v>
      </c>
      <c r="K6" s="268">
        <v>632</v>
      </c>
      <c r="L6" s="268">
        <v>657</v>
      </c>
      <c r="M6" s="268">
        <v>682</v>
      </c>
      <c r="N6" s="268">
        <v>707</v>
      </c>
    </row>
    <row r="7" ht="13.5">
      <c r="A7" s="213"/>
    </row>
    <row r="8" spans="1:14" ht="13.5">
      <c r="A8" s="213" t="s">
        <v>228</v>
      </c>
      <c r="B8" s="269" t="s">
        <v>254</v>
      </c>
      <c r="C8" s="269" t="s">
        <v>255</v>
      </c>
      <c r="D8" s="269" t="s">
        <v>256</v>
      </c>
      <c r="E8" s="269" t="s">
        <v>257</v>
      </c>
      <c r="F8" s="269" t="s">
        <v>258</v>
      </c>
      <c r="G8" s="269" t="s">
        <v>259</v>
      </c>
      <c r="I8" s="269" t="s">
        <v>254</v>
      </c>
      <c r="J8" s="269" t="s">
        <v>255</v>
      </c>
      <c r="K8" s="269" t="s">
        <v>256</v>
      </c>
      <c r="L8" s="269" t="s">
        <v>257</v>
      </c>
      <c r="M8" s="269" t="s">
        <v>258</v>
      </c>
      <c r="N8" s="269" t="s">
        <v>259</v>
      </c>
    </row>
    <row r="9" spans="1:14" ht="13.5">
      <c r="A9" s="270" t="s">
        <v>183</v>
      </c>
      <c r="B9" s="220">
        <v>28.728494874459752</v>
      </c>
      <c r="C9" s="220">
        <v>27.623392783077563</v>
      </c>
      <c r="D9" s="220">
        <v>27.623392783077563</v>
      </c>
      <c r="E9" s="220">
        <v>27.623392783077563</v>
      </c>
      <c r="F9" s="220">
        <v>27.623392783077563</v>
      </c>
      <c r="G9" s="220">
        <v>27.623392783077563</v>
      </c>
      <c r="I9" s="284">
        <v>25</v>
      </c>
      <c r="J9" s="284">
        <v>25</v>
      </c>
      <c r="K9" s="284">
        <v>26.02965403624382</v>
      </c>
      <c r="L9" s="284">
        <v>27.059308072487642</v>
      </c>
      <c r="M9" s="284">
        <v>28.088962108731465</v>
      </c>
      <c r="N9" s="284">
        <v>29.118616144975288</v>
      </c>
    </row>
    <row r="10" spans="1:14" ht="13.5">
      <c r="A10" s="270" t="s">
        <v>184</v>
      </c>
      <c r="B10" s="220">
        <v>12</v>
      </c>
      <c r="C10" s="220">
        <v>13.811696391538781</v>
      </c>
      <c r="D10" s="220">
        <v>13.811696391538781</v>
      </c>
      <c r="E10" s="220">
        <v>13.811696391538781</v>
      </c>
      <c r="F10" s="220">
        <v>13.811696391538781</v>
      </c>
      <c r="G10" s="220">
        <v>13.811696391538781</v>
      </c>
      <c r="I10" s="285">
        <v>6</v>
      </c>
      <c r="J10" s="285">
        <v>5.9523809523809526</v>
      </c>
      <c r="K10" s="285">
        <v>6.507413509060955</v>
      </c>
      <c r="L10" s="285">
        <v>6.764827018121911</v>
      </c>
      <c r="M10" s="285">
        <v>7.022240527182866</v>
      </c>
      <c r="N10" s="285">
        <v>7.279654036243822</v>
      </c>
    </row>
    <row r="11" spans="1:14" ht="13.5">
      <c r="A11" s="270" t="s">
        <v>185</v>
      </c>
      <c r="B11" s="220">
        <v>4</v>
      </c>
      <c r="C11" s="220">
        <v>3.9959999999999996</v>
      </c>
      <c r="D11" s="220">
        <v>3.9959999999999996</v>
      </c>
      <c r="E11" s="220">
        <v>3.9959999999999996</v>
      </c>
      <c r="F11" s="220">
        <v>3.9959999999999996</v>
      </c>
      <c r="G11" s="220">
        <v>3.9959999999999996</v>
      </c>
      <c r="I11" s="285">
        <v>3.959247648902821</v>
      </c>
      <c r="J11" s="285">
        <v>3.9586956521739127</v>
      </c>
      <c r="K11" s="285">
        <v>4.121739130434783</v>
      </c>
      <c r="L11" s="285">
        <v>4.284782608695652</v>
      </c>
      <c r="M11" s="285">
        <v>4.447826086956522</v>
      </c>
      <c r="N11" s="285">
        <v>4.610869565217391</v>
      </c>
    </row>
    <row r="12" spans="1:14" ht="13.5">
      <c r="A12" s="271" t="s">
        <v>186</v>
      </c>
      <c r="B12" s="220">
        <v>5</v>
      </c>
      <c r="C12" s="220">
        <v>5</v>
      </c>
      <c r="D12" s="220">
        <v>5</v>
      </c>
      <c r="E12" s="220">
        <v>5</v>
      </c>
      <c r="F12" s="220">
        <v>5</v>
      </c>
      <c r="G12" s="220">
        <v>5</v>
      </c>
      <c r="I12" s="285">
        <v>14.662809170108451</v>
      </c>
      <c r="J12" s="285">
        <v>14.662809170108451</v>
      </c>
      <c r="K12" s="285">
        <v>14.662809170108451</v>
      </c>
      <c r="L12" s="285">
        <v>14.662809170108451</v>
      </c>
      <c r="M12" s="285">
        <v>14.662809170108451</v>
      </c>
      <c r="N12" s="285">
        <v>14.662809170108451</v>
      </c>
    </row>
    <row r="13" spans="1:14" ht="13.5">
      <c r="A13" s="270" t="s">
        <v>187</v>
      </c>
      <c r="B13" s="220">
        <v>0</v>
      </c>
      <c r="C13" s="220">
        <v>0</v>
      </c>
      <c r="D13" s="220">
        <v>0</v>
      </c>
      <c r="E13" s="220">
        <v>0</v>
      </c>
      <c r="F13" s="220">
        <v>0</v>
      </c>
      <c r="G13" s="220">
        <v>0</v>
      </c>
      <c r="I13" s="285">
        <v>0</v>
      </c>
      <c r="J13" s="285">
        <v>0</v>
      </c>
      <c r="K13" s="285">
        <v>0</v>
      </c>
      <c r="L13" s="285">
        <v>0</v>
      </c>
      <c r="M13" s="285">
        <v>0</v>
      </c>
      <c r="N13" s="285">
        <v>0</v>
      </c>
    </row>
    <row r="14" spans="1:14" ht="13.5">
      <c r="A14" s="272" t="s">
        <v>188</v>
      </c>
      <c r="B14" s="220">
        <v>0</v>
      </c>
      <c r="C14" s="220">
        <v>0</v>
      </c>
      <c r="D14" s="220">
        <v>0</v>
      </c>
      <c r="E14" s="220">
        <v>0</v>
      </c>
      <c r="F14" s="220">
        <v>0</v>
      </c>
      <c r="G14" s="220">
        <v>0</v>
      </c>
      <c r="I14" s="285">
        <v>3</v>
      </c>
      <c r="J14" s="285">
        <v>3</v>
      </c>
      <c r="K14" s="285">
        <v>3</v>
      </c>
      <c r="L14" s="285">
        <v>3</v>
      </c>
      <c r="M14" s="285">
        <v>3</v>
      </c>
      <c r="N14" s="285">
        <v>3</v>
      </c>
    </row>
    <row r="15" spans="1:14" ht="13.5">
      <c r="A15" s="270" t="s">
        <v>229</v>
      </c>
      <c r="B15" s="220">
        <v>2</v>
      </c>
      <c r="C15" s="220">
        <v>2</v>
      </c>
      <c r="D15" s="220">
        <v>2</v>
      </c>
      <c r="E15" s="220">
        <v>2</v>
      </c>
      <c r="F15" s="220">
        <v>2</v>
      </c>
      <c r="G15" s="220">
        <v>2</v>
      </c>
      <c r="I15" s="285">
        <v>3</v>
      </c>
      <c r="J15" s="285">
        <v>3</v>
      </c>
      <c r="K15" s="285">
        <v>3</v>
      </c>
      <c r="L15" s="285">
        <v>3</v>
      </c>
      <c r="M15" s="285">
        <v>3</v>
      </c>
      <c r="N15" s="285">
        <v>3</v>
      </c>
    </row>
    <row r="16" spans="1:14" ht="13.5">
      <c r="A16" s="270" t="s">
        <v>230</v>
      </c>
      <c r="B16" s="220"/>
      <c r="C16" s="220">
        <v>0</v>
      </c>
      <c r="D16" s="220">
        <v>0</v>
      </c>
      <c r="E16" s="220">
        <v>0</v>
      </c>
      <c r="F16" s="220">
        <v>0</v>
      </c>
      <c r="G16" s="220">
        <v>0</v>
      </c>
      <c r="I16" s="285"/>
      <c r="J16" s="285">
        <v>0</v>
      </c>
      <c r="K16" s="285">
        <v>0</v>
      </c>
      <c r="L16" s="285">
        <v>0</v>
      </c>
      <c r="M16" s="285">
        <v>0</v>
      </c>
      <c r="N16" s="285">
        <v>0</v>
      </c>
    </row>
    <row r="17" spans="1:14" ht="13.5">
      <c r="A17" s="270" t="s">
        <v>189</v>
      </c>
      <c r="B17" s="220">
        <v>6.575</v>
      </c>
      <c r="C17" s="220">
        <v>6.575</v>
      </c>
      <c r="D17" s="220">
        <v>6.575</v>
      </c>
      <c r="E17" s="220">
        <v>6.575</v>
      </c>
      <c r="F17" s="220">
        <v>6.575</v>
      </c>
      <c r="G17" s="220">
        <v>6.575</v>
      </c>
      <c r="I17" s="285">
        <v>4.997085442552539</v>
      </c>
      <c r="J17" s="285">
        <v>4.997085442552539</v>
      </c>
      <c r="K17" s="285">
        <v>4.997085442552539</v>
      </c>
      <c r="L17" s="285">
        <v>4.997085442552539</v>
      </c>
      <c r="M17" s="285">
        <v>4.997085442552539</v>
      </c>
      <c r="N17" s="285">
        <v>4.997085442552539</v>
      </c>
    </row>
    <row r="18" spans="1:14" ht="13.5">
      <c r="A18" s="270" t="s">
        <v>231</v>
      </c>
      <c r="B18" s="220"/>
      <c r="C18" s="220">
        <v>0</v>
      </c>
      <c r="D18" s="220">
        <v>0</v>
      </c>
      <c r="E18" s="220">
        <v>0</v>
      </c>
      <c r="F18" s="220">
        <v>0</v>
      </c>
      <c r="G18" s="220">
        <v>0</v>
      </c>
      <c r="I18" s="285">
        <v>0</v>
      </c>
      <c r="J18" s="285">
        <v>0</v>
      </c>
      <c r="K18" s="285">
        <v>0</v>
      </c>
      <c r="L18" s="285">
        <v>0</v>
      </c>
      <c r="M18" s="285">
        <v>0</v>
      </c>
      <c r="N18" s="285">
        <v>0</v>
      </c>
    </row>
    <row r="19" spans="1:14" ht="13.5">
      <c r="A19" s="271" t="s">
        <v>190</v>
      </c>
      <c r="B19" s="221">
        <v>1</v>
      </c>
      <c r="C19" s="220">
        <v>1</v>
      </c>
      <c r="D19" s="220">
        <v>1</v>
      </c>
      <c r="E19" s="220">
        <v>1</v>
      </c>
      <c r="F19" s="220">
        <v>1</v>
      </c>
      <c r="G19" s="220">
        <v>1</v>
      </c>
      <c r="I19" s="286">
        <v>1</v>
      </c>
      <c r="J19" s="285">
        <v>1</v>
      </c>
      <c r="K19" s="285">
        <v>1</v>
      </c>
      <c r="L19" s="285">
        <v>1</v>
      </c>
      <c r="M19" s="285">
        <v>1</v>
      </c>
      <c r="N19" s="285">
        <v>1</v>
      </c>
    </row>
    <row r="20" spans="1:14" ht="13.5">
      <c r="A20" s="270" t="s">
        <v>191</v>
      </c>
      <c r="B20" s="220">
        <v>2</v>
      </c>
      <c r="C20" s="220">
        <v>2</v>
      </c>
      <c r="D20" s="220">
        <v>2</v>
      </c>
      <c r="E20" s="220">
        <v>2</v>
      </c>
      <c r="F20" s="220">
        <v>2</v>
      </c>
      <c r="G20" s="220">
        <v>2</v>
      </c>
      <c r="I20" s="285">
        <v>2</v>
      </c>
      <c r="J20" s="285">
        <v>2</v>
      </c>
      <c r="K20" s="285">
        <v>2</v>
      </c>
      <c r="L20" s="285">
        <v>2</v>
      </c>
      <c r="M20" s="285">
        <v>2</v>
      </c>
      <c r="N20" s="285">
        <v>2</v>
      </c>
    </row>
    <row r="21" spans="1:14" ht="13.5">
      <c r="A21" s="270" t="s">
        <v>232</v>
      </c>
      <c r="B21" s="220"/>
      <c r="C21" s="220"/>
      <c r="D21" s="220"/>
      <c r="E21" s="220"/>
      <c r="F21" s="220"/>
      <c r="G21" s="220"/>
      <c r="I21" s="285">
        <v>0</v>
      </c>
      <c r="J21" s="285">
        <v>0</v>
      </c>
      <c r="K21" s="287">
        <v>0</v>
      </c>
      <c r="L21" s="285">
        <v>0</v>
      </c>
      <c r="M21" s="285">
        <v>0</v>
      </c>
      <c r="N21" s="287">
        <v>0</v>
      </c>
    </row>
    <row r="22" spans="1:14" ht="13.5">
      <c r="A22" s="270" t="s">
        <v>25</v>
      </c>
      <c r="B22" s="220">
        <v>6</v>
      </c>
      <c r="C22" s="220">
        <v>6</v>
      </c>
      <c r="D22" s="220">
        <v>6</v>
      </c>
      <c r="E22" s="220">
        <v>6</v>
      </c>
      <c r="F22" s="220">
        <v>6</v>
      </c>
      <c r="G22" s="220">
        <v>6</v>
      </c>
      <c r="I22" s="285">
        <v>6.999999999999999</v>
      </c>
      <c r="J22" s="285">
        <v>6.999999999999999</v>
      </c>
      <c r="K22" s="285">
        <v>6.999999999999999</v>
      </c>
      <c r="L22" s="285">
        <v>6.999999999999999</v>
      </c>
      <c r="M22" s="285">
        <v>6.999999999999999</v>
      </c>
      <c r="N22" s="285">
        <v>6.999999999999999</v>
      </c>
    </row>
    <row r="23" spans="1:14" ht="13.5">
      <c r="A23" s="270" t="s">
        <v>192</v>
      </c>
      <c r="B23" s="220">
        <v>2</v>
      </c>
      <c r="C23" s="220">
        <v>2</v>
      </c>
      <c r="D23" s="220">
        <v>2</v>
      </c>
      <c r="E23" s="220">
        <v>2</v>
      </c>
      <c r="F23" s="220">
        <v>2</v>
      </c>
      <c r="G23" s="220">
        <v>2</v>
      </c>
      <c r="I23" s="285">
        <v>3</v>
      </c>
      <c r="J23" s="285">
        <v>3</v>
      </c>
      <c r="K23" s="285">
        <v>3</v>
      </c>
      <c r="L23" s="285">
        <v>3</v>
      </c>
      <c r="M23" s="285">
        <v>3</v>
      </c>
      <c r="N23" s="285">
        <v>3</v>
      </c>
    </row>
    <row r="24" spans="1:14" ht="13.5">
      <c r="A24" s="270" t="s">
        <v>193</v>
      </c>
      <c r="B24" s="220">
        <v>2</v>
      </c>
      <c r="C24" s="220">
        <v>2</v>
      </c>
      <c r="D24" s="220">
        <v>2</v>
      </c>
      <c r="E24" s="220">
        <v>2</v>
      </c>
      <c r="F24" s="220">
        <v>2</v>
      </c>
      <c r="G24" s="220">
        <v>2</v>
      </c>
      <c r="I24" s="285">
        <v>4.221643171087212</v>
      </c>
      <c r="J24" s="285">
        <v>4.221643171087212</v>
      </c>
      <c r="K24" s="285">
        <v>4.221643171087212</v>
      </c>
      <c r="L24" s="285">
        <v>4.221643171087212</v>
      </c>
      <c r="M24" s="285">
        <v>4.221643171087212</v>
      </c>
      <c r="N24" s="285">
        <v>4.221643171087212</v>
      </c>
    </row>
    <row r="25" spans="1:14" ht="13.5">
      <c r="A25" s="270" t="s">
        <v>194</v>
      </c>
      <c r="B25" s="220">
        <v>2</v>
      </c>
      <c r="C25" s="220">
        <v>2</v>
      </c>
      <c r="D25" s="220">
        <v>2</v>
      </c>
      <c r="E25" s="220">
        <v>2</v>
      </c>
      <c r="F25" s="220">
        <v>2</v>
      </c>
      <c r="G25" s="220">
        <v>2</v>
      </c>
      <c r="I25" s="285">
        <v>3</v>
      </c>
      <c r="J25" s="285">
        <v>3</v>
      </c>
      <c r="K25" s="285">
        <v>3</v>
      </c>
      <c r="L25" s="285">
        <v>3</v>
      </c>
      <c r="M25" s="285">
        <v>3</v>
      </c>
      <c r="N25" s="285">
        <v>3</v>
      </c>
    </row>
    <row r="26" spans="1:14" ht="13.5">
      <c r="A26" s="270" t="s">
        <v>195</v>
      </c>
      <c r="B26" s="220">
        <v>1</v>
      </c>
      <c r="C26" s="220">
        <v>1</v>
      </c>
      <c r="D26" s="220">
        <v>1</v>
      </c>
      <c r="E26" s="220">
        <v>1</v>
      </c>
      <c r="F26" s="220">
        <v>1</v>
      </c>
      <c r="G26" s="220">
        <v>1</v>
      </c>
      <c r="I26" s="285">
        <v>0</v>
      </c>
      <c r="J26" s="285">
        <v>0</v>
      </c>
      <c r="K26" s="285">
        <v>0</v>
      </c>
      <c r="L26" s="285">
        <v>0</v>
      </c>
      <c r="M26" s="285">
        <v>0</v>
      </c>
      <c r="N26" s="285">
        <v>0</v>
      </c>
    </row>
    <row r="27" spans="1:14" ht="13.5">
      <c r="A27" s="270" t="s">
        <v>233</v>
      </c>
      <c r="B27" s="220">
        <v>1</v>
      </c>
      <c r="C27" s="220">
        <v>1</v>
      </c>
      <c r="D27" s="220">
        <v>1</v>
      </c>
      <c r="E27" s="220">
        <v>1</v>
      </c>
      <c r="F27" s="220">
        <v>1</v>
      </c>
      <c r="G27" s="220">
        <v>1</v>
      </c>
      <c r="I27" s="285">
        <v>2.2382980281754614</v>
      </c>
      <c r="J27" s="285">
        <v>2.2382980281754614</v>
      </c>
      <c r="K27" s="285">
        <v>2.2382980281754614</v>
      </c>
      <c r="L27" s="285">
        <v>2.2382980281754614</v>
      </c>
      <c r="M27" s="285">
        <v>2.2382980281754614</v>
      </c>
      <c r="N27" s="285">
        <v>2.2382980281754614</v>
      </c>
    </row>
    <row r="28" spans="1:14" ht="13.5">
      <c r="A28" s="270" t="s">
        <v>234</v>
      </c>
      <c r="B28" s="220">
        <v>0</v>
      </c>
      <c r="C28" s="220">
        <v>0</v>
      </c>
      <c r="D28" s="220">
        <v>0</v>
      </c>
      <c r="E28" s="220">
        <v>0</v>
      </c>
      <c r="F28" s="220">
        <v>0</v>
      </c>
      <c r="G28" s="220">
        <v>0</v>
      </c>
      <c r="I28" s="285">
        <v>0</v>
      </c>
      <c r="J28" s="285">
        <v>0</v>
      </c>
      <c r="K28" s="287">
        <v>0</v>
      </c>
      <c r="L28" s="285">
        <v>0</v>
      </c>
      <c r="M28" s="285">
        <v>0</v>
      </c>
      <c r="N28" s="285">
        <v>0</v>
      </c>
    </row>
    <row r="29" spans="1:14" ht="13.5">
      <c r="A29" s="214" t="s">
        <v>235</v>
      </c>
      <c r="B29" s="222">
        <f aca="true" t="shared" si="0" ref="B29:G29">SUM(B9:B28)</f>
        <v>75.30349487445976</v>
      </c>
      <c r="C29" s="222">
        <f t="shared" si="0"/>
        <v>76.00608917461635</v>
      </c>
      <c r="D29" s="222">
        <f t="shared" si="0"/>
        <v>76.00608917461635</v>
      </c>
      <c r="E29" s="222">
        <f t="shared" si="0"/>
        <v>76.00608917461635</v>
      </c>
      <c r="F29" s="222">
        <f t="shared" si="0"/>
        <v>76.00608917461635</v>
      </c>
      <c r="G29" s="222">
        <f t="shared" si="0"/>
        <v>76.00608917461635</v>
      </c>
      <c r="I29" s="222">
        <f aca="true" t="shared" si="1" ref="I29:N29">SUM(I9:I28)</f>
        <v>83.07908346082648</v>
      </c>
      <c r="J29" s="222">
        <f t="shared" si="1"/>
        <v>83.03091241647853</v>
      </c>
      <c r="K29" s="222">
        <f t="shared" si="1"/>
        <v>84.77864248766322</v>
      </c>
      <c r="L29" s="222">
        <f t="shared" si="1"/>
        <v>86.22875351122887</v>
      </c>
      <c r="M29" s="222">
        <f t="shared" si="1"/>
        <v>87.67886453479453</v>
      </c>
      <c r="N29" s="222">
        <f t="shared" si="1"/>
        <v>89.12897555836017</v>
      </c>
    </row>
    <row r="30" spans="1:14" ht="13.5">
      <c r="A30" s="214"/>
      <c r="B30" s="222"/>
      <c r="C30" s="222"/>
      <c r="D30" s="222"/>
      <c r="E30" s="222"/>
      <c r="F30" s="222"/>
      <c r="G30" s="222"/>
      <c r="I30" s="222">
        <v>55.0525</v>
      </c>
      <c r="J30" s="222">
        <v>55.0525</v>
      </c>
      <c r="K30" s="222">
        <v>56.49</v>
      </c>
      <c r="L30" s="222">
        <v>57.9275</v>
      </c>
      <c r="M30" s="222">
        <v>59.365</v>
      </c>
      <c r="N30" s="222">
        <v>60.8025</v>
      </c>
    </row>
    <row r="31" spans="1:14" ht="13.5">
      <c r="A31" s="214"/>
      <c r="B31" s="222">
        <v>-2.9598214285714306</v>
      </c>
      <c r="C31" s="222"/>
      <c r="D31" s="222"/>
      <c r="E31" s="222"/>
      <c r="F31" s="222"/>
      <c r="G31" s="222"/>
      <c r="I31" s="222"/>
      <c r="J31" s="222">
        <f>J29+C29</f>
        <v>159.03700159109488</v>
      </c>
      <c r="K31" s="222"/>
      <c r="L31" s="222"/>
      <c r="M31" s="222"/>
      <c r="N31" s="222"/>
    </row>
    <row r="32" spans="1:14" ht="13.5">
      <c r="A32" s="215"/>
      <c r="B32" s="219">
        <v>2016</v>
      </c>
      <c r="C32" s="219">
        <v>2017</v>
      </c>
      <c r="D32" s="219">
        <v>2018</v>
      </c>
      <c r="E32" s="219">
        <v>2019</v>
      </c>
      <c r="F32" s="219">
        <v>2020</v>
      </c>
      <c r="G32" s="219">
        <v>2021</v>
      </c>
      <c r="I32" s="219">
        <v>2016</v>
      </c>
      <c r="J32" s="219">
        <v>2017</v>
      </c>
      <c r="K32" s="219">
        <v>2018</v>
      </c>
      <c r="L32" s="219">
        <v>2019</v>
      </c>
      <c r="M32" s="219">
        <v>2020</v>
      </c>
      <c r="N32" s="219">
        <v>2021</v>
      </c>
    </row>
    <row r="33" spans="1:14" ht="13.5">
      <c r="A33" s="214" t="s">
        <v>236</v>
      </c>
      <c r="B33" s="223"/>
      <c r="C33" s="223"/>
      <c r="D33" s="223">
        <v>61.95982142857143</v>
      </c>
      <c r="E33" s="223">
        <v>61.95982142857143</v>
      </c>
      <c r="F33" s="223">
        <v>61.95982142857143</v>
      </c>
      <c r="G33" s="223">
        <v>61.95982142857143</v>
      </c>
      <c r="I33" s="223">
        <v>75.35249999999999</v>
      </c>
      <c r="J33" s="223">
        <v>75.35249999999999</v>
      </c>
      <c r="K33" s="223">
        <v>76.78999999999999</v>
      </c>
      <c r="L33" s="223">
        <v>78.22749999999999</v>
      </c>
      <c r="M33" s="223">
        <v>79.66499999999999</v>
      </c>
      <c r="N33" s="223">
        <v>81.1025</v>
      </c>
    </row>
    <row r="34" spans="1:4" ht="13.5">
      <c r="A34" s="215"/>
      <c r="C34" s="224"/>
      <c r="D34" s="225"/>
    </row>
    <row r="35" spans="1:14" ht="13.5">
      <c r="A35" s="216" t="s">
        <v>237</v>
      </c>
      <c r="B35" s="219">
        <v>2016</v>
      </c>
      <c r="C35" s="219">
        <v>2017</v>
      </c>
      <c r="D35" s="219">
        <v>2018</v>
      </c>
      <c r="E35" s="219">
        <v>2019</v>
      </c>
      <c r="F35" s="219">
        <v>2020</v>
      </c>
      <c r="G35" s="219">
        <v>2021</v>
      </c>
      <c r="I35" s="219">
        <v>2016</v>
      </c>
      <c r="J35" s="219">
        <v>2017</v>
      </c>
      <c r="K35" s="219">
        <v>2018</v>
      </c>
      <c r="L35" s="219">
        <v>2019</v>
      </c>
      <c r="M35" s="219">
        <v>2020</v>
      </c>
      <c r="N35" s="219">
        <v>2021</v>
      </c>
    </row>
    <row r="36" spans="1:14" ht="13.5">
      <c r="A36" s="271" t="s">
        <v>183</v>
      </c>
      <c r="B36" s="226">
        <v>40742.25809523809</v>
      </c>
      <c r="C36" s="227">
        <v>40742.25809523809</v>
      </c>
      <c r="D36" s="227">
        <v>41149.680676190466</v>
      </c>
      <c r="E36" s="227">
        <v>41561.17748295237</v>
      </c>
      <c r="F36" s="227">
        <v>41976.78925778189</v>
      </c>
      <c r="G36" s="227">
        <v>42396.55715035971</v>
      </c>
      <c r="I36" s="228">
        <v>41299.70588717949</v>
      </c>
      <c r="J36" s="227">
        <v>41299.70588717949</v>
      </c>
      <c r="K36" s="227">
        <v>41712.702946051286</v>
      </c>
      <c r="L36" s="227">
        <v>42129.8299755118</v>
      </c>
      <c r="M36" s="227">
        <v>42551.128275266914</v>
      </c>
      <c r="N36" s="227">
        <v>42976.63955801958</v>
      </c>
    </row>
    <row r="37" spans="1:14" ht="13.5">
      <c r="A37" s="271" t="s">
        <v>184</v>
      </c>
      <c r="B37" s="228">
        <v>24914.402407407408</v>
      </c>
      <c r="C37" s="227">
        <v>24914.402407407408</v>
      </c>
      <c r="D37" s="227">
        <v>25163.54643148148</v>
      </c>
      <c r="E37" s="227">
        <v>25415.181895796297</v>
      </c>
      <c r="F37" s="227">
        <v>25669.33371475426</v>
      </c>
      <c r="G37" s="227">
        <v>25926.0270519018</v>
      </c>
      <c r="I37" s="228">
        <v>18332.2</v>
      </c>
      <c r="J37" s="227">
        <v>18332.2</v>
      </c>
      <c r="K37" s="227">
        <v>18515.522</v>
      </c>
      <c r="L37" s="227">
        <v>18700.67722</v>
      </c>
      <c r="M37" s="227">
        <v>18887.6839922</v>
      </c>
      <c r="N37" s="227">
        <v>19076.560832122</v>
      </c>
    </row>
    <row r="38" spans="1:14" ht="13.5">
      <c r="A38" s="271" t="s">
        <v>185</v>
      </c>
      <c r="B38" s="226">
        <v>41190</v>
      </c>
      <c r="C38" s="227">
        <v>41190</v>
      </c>
      <c r="D38" s="227">
        <v>41601.9</v>
      </c>
      <c r="E38" s="227">
        <v>42017.919</v>
      </c>
      <c r="F38" s="227">
        <v>42438.098190000004</v>
      </c>
      <c r="G38" s="227">
        <v>42862.479171900006</v>
      </c>
      <c r="I38" s="228">
        <v>42533.333333333336</v>
      </c>
      <c r="J38" s="227">
        <v>42533.333333333336</v>
      </c>
      <c r="K38" s="227">
        <v>42958.66666666667</v>
      </c>
      <c r="L38" s="227">
        <v>43388.25333333334</v>
      </c>
      <c r="M38" s="227">
        <v>43822.13586666668</v>
      </c>
      <c r="N38" s="227">
        <v>44260.35722533335</v>
      </c>
    </row>
    <row r="39" spans="1:14" ht="13.5">
      <c r="A39" s="271" t="s">
        <v>186</v>
      </c>
      <c r="B39" s="228">
        <v>45226.6</v>
      </c>
      <c r="C39" s="227">
        <v>45226.6</v>
      </c>
      <c r="D39" s="227">
        <v>45678.866</v>
      </c>
      <c r="E39" s="227">
        <v>46135.65466</v>
      </c>
      <c r="F39" s="227">
        <v>46597.0112066</v>
      </c>
      <c r="G39" s="227">
        <v>47062.981318666</v>
      </c>
      <c r="I39" s="228">
        <v>41874.90234375</v>
      </c>
      <c r="J39" s="227">
        <v>41874.90234375</v>
      </c>
      <c r="K39" s="227">
        <v>42293.6513671875</v>
      </c>
      <c r="L39" s="227">
        <v>42716.58788085938</v>
      </c>
      <c r="M39" s="227">
        <v>43143.75375966797</v>
      </c>
      <c r="N39" s="227">
        <v>43575.191297264646</v>
      </c>
    </row>
    <row r="40" spans="1:14" ht="13.5">
      <c r="A40" s="271" t="s">
        <v>187</v>
      </c>
      <c r="B40" s="228">
        <v>0</v>
      </c>
      <c r="C40" s="227">
        <v>0</v>
      </c>
      <c r="D40" s="227">
        <v>0</v>
      </c>
      <c r="E40" s="227">
        <v>0</v>
      </c>
      <c r="F40" s="227">
        <v>0</v>
      </c>
      <c r="G40" s="227">
        <v>0</v>
      </c>
      <c r="I40" s="228">
        <v>0</v>
      </c>
      <c r="J40" s="227">
        <v>0</v>
      </c>
      <c r="K40" s="227">
        <v>0</v>
      </c>
      <c r="L40" s="227">
        <v>0</v>
      </c>
      <c r="M40" s="227">
        <v>0</v>
      </c>
      <c r="N40" s="227">
        <v>0</v>
      </c>
    </row>
    <row r="41" spans="1:14" ht="13.5">
      <c r="A41" s="271" t="s">
        <v>188</v>
      </c>
      <c r="B41" s="228">
        <v>0</v>
      </c>
      <c r="C41" s="227">
        <v>0</v>
      </c>
      <c r="D41" s="227">
        <v>0</v>
      </c>
      <c r="E41" s="227">
        <v>0</v>
      </c>
      <c r="F41" s="227">
        <v>0</v>
      </c>
      <c r="G41" s="227">
        <v>0</v>
      </c>
      <c r="I41" s="228">
        <v>27851</v>
      </c>
      <c r="J41" s="227">
        <v>27851</v>
      </c>
      <c r="K41" s="227">
        <v>28129.510000000002</v>
      </c>
      <c r="L41" s="227">
        <v>28410.8051</v>
      </c>
      <c r="M41" s="227">
        <v>28694.913151</v>
      </c>
      <c r="N41" s="227">
        <v>28981.86228251</v>
      </c>
    </row>
    <row r="42" spans="1:14" ht="13.5">
      <c r="A42" s="271" t="s">
        <v>229</v>
      </c>
      <c r="B42" s="228">
        <v>40000</v>
      </c>
      <c r="C42" s="227">
        <v>40000</v>
      </c>
      <c r="D42" s="227">
        <v>40400</v>
      </c>
      <c r="E42" s="227">
        <v>40804</v>
      </c>
      <c r="F42" s="227">
        <v>41212.04</v>
      </c>
      <c r="G42" s="227">
        <v>41624.1604</v>
      </c>
      <c r="I42" s="228">
        <v>43333.333333333336</v>
      </c>
      <c r="J42" s="227">
        <v>43333.333333333336</v>
      </c>
      <c r="K42" s="227">
        <v>41712.702946051286</v>
      </c>
      <c r="L42" s="227">
        <v>42129.8299755118</v>
      </c>
      <c r="M42" s="227">
        <v>42551.128275266914</v>
      </c>
      <c r="N42" s="227">
        <v>42976.63955801958</v>
      </c>
    </row>
    <row r="43" spans="1:14" ht="13.5">
      <c r="A43" s="271" t="s">
        <v>230</v>
      </c>
      <c r="B43" s="228"/>
      <c r="C43" s="227">
        <v>0</v>
      </c>
      <c r="D43" s="227">
        <v>0</v>
      </c>
      <c r="E43" s="227">
        <v>0</v>
      </c>
      <c r="F43" s="227">
        <v>0</v>
      </c>
      <c r="G43" s="227">
        <v>0</v>
      </c>
      <c r="I43" s="228"/>
      <c r="J43" s="227">
        <v>0</v>
      </c>
      <c r="K43" s="227">
        <v>30000</v>
      </c>
      <c r="L43" s="227">
        <v>30000</v>
      </c>
      <c r="M43" s="227">
        <v>30000</v>
      </c>
      <c r="N43" s="227">
        <v>30000</v>
      </c>
    </row>
    <row r="44" spans="1:14" ht="13.5">
      <c r="A44" s="271" t="s">
        <v>189</v>
      </c>
      <c r="B44" s="228">
        <v>15986.880000000001</v>
      </c>
      <c r="C44" s="227">
        <v>15986.880000000001</v>
      </c>
      <c r="D44" s="227">
        <v>16146.748800000001</v>
      </c>
      <c r="E44" s="227">
        <v>16308.216288000001</v>
      </c>
      <c r="F44" s="227">
        <v>16471.29845088</v>
      </c>
      <c r="G44" s="227">
        <v>16636.0114353888</v>
      </c>
      <c r="I44" s="228">
        <v>25424.100000000002</v>
      </c>
      <c r="J44" s="227">
        <v>25424.100000000002</v>
      </c>
      <c r="K44" s="227">
        <v>25678.341000000004</v>
      </c>
      <c r="L44" s="227">
        <v>25935.124410000004</v>
      </c>
      <c r="M44" s="227">
        <v>26194.475654100006</v>
      </c>
      <c r="N44" s="227">
        <v>26456.420410641007</v>
      </c>
    </row>
    <row r="45" spans="1:14" ht="13.5">
      <c r="A45" s="271" t="s">
        <v>231</v>
      </c>
      <c r="B45" s="228"/>
      <c r="C45" s="227">
        <v>0</v>
      </c>
      <c r="D45" s="227">
        <v>0</v>
      </c>
      <c r="E45" s="227">
        <v>0</v>
      </c>
      <c r="F45" s="227">
        <v>0</v>
      </c>
      <c r="G45" s="227">
        <v>0</v>
      </c>
      <c r="I45" s="228">
        <v>0</v>
      </c>
      <c r="J45" s="227">
        <v>0</v>
      </c>
      <c r="K45" s="227">
        <v>0</v>
      </c>
      <c r="L45" s="227">
        <v>0</v>
      </c>
      <c r="M45" s="227">
        <v>0</v>
      </c>
      <c r="N45" s="227">
        <v>0</v>
      </c>
    </row>
    <row r="46" spans="1:14" ht="13.5">
      <c r="A46" s="271" t="s">
        <v>190</v>
      </c>
      <c r="B46" s="228">
        <v>85000</v>
      </c>
      <c r="C46" s="227">
        <v>85000</v>
      </c>
      <c r="D46" s="227">
        <v>85850</v>
      </c>
      <c r="E46" s="227">
        <v>86708.5</v>
      </c>
      <c r="F46" s="227">
        <v>87575.585</v>
      </c>
      <c r="G46" s="227">
        <v>88451.34085000001</v>
      </c>
      <c r="I46" s="228">
        <v>98000</v>
      </c>
      <c r="J46" s="227">
        <v>98000</v>
      </c>
      <c r="K46" s="227">
        <v>98980</v>
      </c>
      <c r="L46" s="227">
        <v>99969.8</v>
      </c>
      <c r="M46" s="227">
        <v>100969.498</v>
      </c>
      <c r="N46" s="227">
        <v>101979.19298</v>
      </c>
    </row>
    <row r="47" spans="1:14" ht="13.5">
      <c r="A47" s="271" t="s">
        <v>191</v>
      </c>
      <c r="B47" s="226">
        <v>42310</v>
      </c>
      <c r="C47" s="227">
        <v>42310</v>
      </c>
      <c r="D47" s="227">
        <v>42733.1</v>
      </c>
      <c r="E47" s="227">
        <v>43160.431</v>
      </c>
      <c r="F47" s="227">
        <v>43592.03531</v>
      </c>
      <c r="G47" s="227">
        <v>44027.9556631</v>
      </c>
      <c r="I47" s="228">
        <v>67500</v>
      </c>
      <c r="J47" s="227">
        <v>67500</v>
      </c>
      <c r="K47" s="227">
        <v>68175</v>
      </c>
      <c r="L47" s="227">
        <v>68856.75</v>
      </c>
      <c r="M47" s="227">
        <v>69545.3175</v>
      </c>
      <c r="N47" s="227">
        <v>70240.770675</v>
      </c>
    </row>
    <row r="48" spans="1:14" ht="13.5">
      <c r="A48" s="271" t="s">
        <v>232</v>
      </c>
      <c r="B48" s="228"/>
      <c r="C48" s="227">
        <v>0</v>
      </c>
      <c r="D48" s="227">
        <v>0</v>
      </c>
      <c r="E48" s="227">
        <v>0</v>
      </c>
      <c r="F48" s="227">
        <v>0</v>
      </c>
      <c r="G48" s="227">
        <v>0</v>
      </c>
      <c r="I48" s="228">
        <v>0</v>
      </c>
      <c r="J48" s="227">
        <v>0</v>
      </c>
      <c r="K48" s="227">
        <v>0</v>
      </c>
      <c r="L48" s="227">
        <v>0</v>
      </c>
      <c r="M48" s="227">
        <v>0</v>
      </c>
      <c r="N48" s="227">
        <v>0</v>
      </c>
    </row>
    <row r="49" spans="1:14" ht="13.5">
      <c r="A49" s="271" t="s">
        <v>25</v>
      </c>
      <c r="B49" s="228">
        <v>26555.600000000002</v>
      </c>
      <c r="C49" s="227">
        <v>26555.600000000002</v>
      </c>
      <c r="D49" s="227">
        <v>26821.156000000003</v>
      </c>
      <c r="E49" s="227">
        <v>27089.367560000002</v>
      </c>
      <c r="F49" s="227">
        <v>27360.261235600003</v>
      </c>
      <c r="G49" s="227">
        <v>27633.863847956003</v>
      </c>
      <c r="I49" s="228">
        <v>27647.200000000004</v>
      </c>
      <c r="J49" s="227">
        <v>27647.200000000004</v>
      </c>
      <c r="K49" s="227">
        <v>27923.672000000006</v>
      </c>
      <c r="L49" s="227">
        <v>28202.908720000007</v>
      </c>
      <c r="M49" s="227">
        <v>28484.937807200007</v>
      </c>
      <c r="N49" s="227">
        <v>28769.78718527201</v>
      </c>
    </row>
    <row r="50" spans="1:14" ht="13.5">
      <c r="A50" s="271" t="s">
        <v>192</v>
      </c>
      <c r="B50" s="228">
        <v>46979</v>
      </c>
      <c r="C50" s="227">
        <v>46979</v>
      </c>
      <c r="D50" s="227">
        <v>47448.79</v>
      </c>
      <c r="E50" s="227">
        <v>47923.2779</v>
      </c>
      <c r="F50" s="227">
        <v>48402.510679</v>
      </c>
      <c r="G50" s="227">
        <v>48886.53578579</v>
      </c>
      <c r="I50" s="228">
        <v>38243.96</v>
      </c>
      <c r="J50" s="227">
        <v>38243.96</v>
      </c>
      <c r="K50" s="227">
        <v>38626.3996</v>
      </c>
      <c r="L50" s="227">
        <v>39012.663596</v>
      </c>
      <c r="M50" s="227">
        <v>39402.790231959996</v>
      </c>
      <c r="N50" s="227">
        <v>39796.818134279594</v>
      </c>
    </row>
    <row r="51" spans="1:14" ht="13.5">
      <c r="A51" s="271" t="s">
        <v>193</v>
      </c>
      <c r="B51" s="228">
        <v>17541.5</v>
      </c>
      <c r="C51" s="227">
        <v>17541.5</v>
      </c>
      <c r="D51" s="227">
        <v>17716.915</v>
      </c>
      <c r="E51" s="227">
        <v>17894.084150000002</v>
      </c>
      <c r="F51" s="227">
        <v>18073.024991500002</v>
      </c>
      <c r="G51" s="227">
        <v>18253.755241415</v>
      </c>
      <c r="I51" s="228">
        <v>44423.25</v>
      </c>
      <c r="J51" s="227">
        <v>44423.25</v>
      </c>
      <c r="K51" s="227">
        <v>44867.4825</v>
      </c>
      <c r="L51" s="227">
        <v>45316.157325</v>
      </c>
      <c r="M51" s="227">
        <v>45769.31889825</v>
      </c>
      <c r="N51" s="227">
        <v>46227.0120872325</v>
      </c>
    </row>
    <row r="52" spans="1:14" ht="13.5">
      <c r="A52" s="271" t="s">
        <v>194</v>
      </c>
      <c r="B52" s="228">
        <v>24225</v>
      </c>
      <c r="C52" s="227">
        <v>24225</v>
      </c>
      <c r="D52" s="227">
        <v>24467.25</v>
      </c>
      <c r="E52" s="227">
        <v>24711.9225</v>
      </c>
      <c r="F52" s="227">
        <v>24959.041725</v>
      </c>
      <c r="G52" s="227">
        <v>25208.63214225</v>
      </c>
      <c r="I52" s="228">
        <v>22227.243333333336</v>
      </c>
      <c r="J52" s="227">
        <v>22227.243333333336</v>
      </c>
      <c r="K52" s="227">
        <v>22449.51576666667</v>
      </c>
      <c r="L52" s="227">
        <v>22674.01092433334</v>
      </c>
      <c r="M52" s="227">
        <v>22900.75103357667</v>
      </c>
      <c r="N52" s="227">
        <v>23129.758543912438</v>
      </c>
    </row>
    <row r="53" spans="1:14" ht="13.5">
      <c r="A53" s="271" t="s">
        <v>195</v>
      </c>
      <c r="B53" s="228">
        <v>49250</v>
      </c>
      <c r="C53" s="227">
        <v>49250</v>
      </c>
      <c r="D53" s="227">
        <v>49742.5</v>
      </c>
      <c r="E53" s="227">
        <v>50239.925</v>
      </c>
      <c r="F53" s="227">
        <v>50742.324250000005</v>
      </c>
      <c r="G53" s="227">
        <v>51249.747492500006</v>
      </c>
      <c r="I53" s="228">
        <v>0</v>
      </c>
      <c r="J53" s="227">
        <v>0</v>
      </c>
      <c r="K53" s="227">
        <v>0</v>
      </c>
      <c r="L53" s="227">
        <v>0</v>
      </c>
      <c r="M53" s="227">
        <v>0</v>
      </c>
      <c r="N53" s="227">
        <v>0</v>
      </c>
    </row>
    <row r="54" spans="1:14" ht="13.5">
      <c r="A54" s="271" t="s">
        <v>233</v>
      </c>
      <c r="B54" s="228">
        <v>46974</v>
      </c>
      <c r="C54" s="227">
        <v>46974</v>
      </c>
      <c r="D54" s="227">
        <v>47443.74</v>
      </c>
      <c r="E54" s="227">
        <v>47918.1774</v>
      </c>
      <c r="F54" s="227">
        <v>48397.359174</v>
      </c>
      <c r="G54" s="227">
        <v>48881.33276574</v>
      </c>
      <c r="I54" s="228">
        <v>43690.5</v>
      </c>
      <c r="J54" s="227">
        <v>43690.5</v>
      </c>
      <c r="K54" s="227">
        <v>44127.405</v>
      </c>
      <c r="L54" s="227">
        <v>44568.67905</v>
      </c>
      <c r="M54" s="227">
        <v>45014.3658405</v>
      </c>
      <c r="N54" s="227">
        <v>45464.509498905005</v>
      </c>
    </row>
    <row r="55" spans="1:14" ht="13.5">
      <c r="A55" s="271" t="s">
        <v>234</v>
      </c>
      <c r="B55" s="228">
        <v>0</v>
      </c>
      <c r="C55" s="227">
        <v>0</v>
      </c>
      <c r="D55" s="227">
        <v>0</v>
      </c>
      <c r="E55" s="227">
        <v>0</v>
      </c>
      <c r="F55" s="227">
        <v>0</v>
      </c>
      <c r="G55" s="227">
        <v>0</v>
      </c>
      <c r="I55" s="228">
        <v>68421</v>
      </c>
      <c r="J55" s="227">
        <v>68421</v>
      </c>
      <c r="K55" s="227">
        <v>69105.21</v>
      </c>
      <c r="L55" s="227">
        <v>69796.2621</v>
      </c>
      <c r="M55" s="227">
        <v>70494.224721</v>
      </c>
      <c r="N55" s="227">
        <v>71199.16696821</v>
      </c>
    </row>
    <row r="56" spans="1:10" ht="13.5">
      <c r="A56" t="s">
        <v>238</v>
      </c>
      <c r="B56" s="229">
        <v>0.01</v>
      </c>
      <c r="C56" t="s">
        <v>260</v>
      </c>
      <c r="I56" s="230">
        <v>0.01</v>
      </c>
      <c r="J56" t="s">
        <v>260</v>
      </c>
    </row>
    <row r="57" spans="1:9" ht="13.5">
      <c r="A57" s="217" t="s">
        <v>239</v>
      </c>
      <c r="B57" s="230">
        <v>0.28</v>
      </c>
      <c r="I57" s="230">
        <v>0.28</v>
      </c>
    </row>
    <row r="58" spans="2:10" ht="13.5">
      <c r="B58" s="231">
        <v>0</v>
      </c>
      <c r="C58" t="s">
        <v>261</v>
      </c>
      <c r="I58">
        <v>0</v>
      </c>
      <c r="J58" t="s">
        <v>266</v>
      </c>
    </row>
    <row r="59" spans="2:14" ht="13.5">
      <c r="B59" s="219">
        <v>2016</v>
      </c>
      <c r="C59" s="219">
        <v>2017</v>
      </c>
      <c r="D59" s="219">
        <v>2018</v>
      </c>
      <c r="E59" s="219">
        <v>2019</v>
      </c>
      <c r="F59" s="219">
        <v>2020</v>
      </c>
      <c r="G59" s="219">
        <v>2021</v>
      </c>
      <c r="I59" s="219">
        <v>2016</v>
      </c>
      <c r="J59" s="219">
        <v>2017</v>
      </c>
      <c r="K59" s="219">
        <v>2018</v>
      </c>
      <c r="L59" s="219">
        <v>2019</v>
      </c>
      <c r="M59" s="219">
        <v>2020</v>
      </c>
      <c r="N59" s="219">
        <v>2021</v>
      </c>
    </row>
    <row r="60" spans="2:14" ht="13.5">
      <c r="B60" s="232"/>
      <c r="C60" s="232"/>
      <c r="D60" s="232"/>
      <c r="E60" s="232"/>
      <c r="F60" s="232"/>
      <c r="G60" s="232"/>
      <c r="I60" s="232"/>
      <c r="J60" s="232"/>
      <c r="K60" s="232"/>
      <c r="L60" s="232"/>
      <c r="M60" s="232"/>
      <c r="N60" s="232"/>
    </row>
    <row r="61" spans="2:14" ht="13.5">
      <c r="B61" s="232"/>
      <c r="C61" s="232"/>
      <c r="D61" s="232"/>
      <c r="E61" s="232"/>
      <c r="F61" s="232"/>
      <c r="G61" s="232"/>
      <c r="I61" s="232"/>
      <c r="J61" s="232"/>
      <c r="K61" s="232"/>
      <c r="L61" s="232"/>
      <c r="M61" s="232"/>
      <c r="N61" s="232"/>
    </row>
    <row r="62" spans="1:14" ht="13.5">
      <c r="A62" t="s">
        <v>199</v>
      </c>
      <c r="B62" s="233">
        <v>0</v>
      </c>
      <c r="C62" s="234">
        <v>0</v>
      </c>
      <c r="D62" s="234">
        <v>0</v>
      </c>
      <c r="E62" s="234">
        <v>0</v>
      </c>
      <c r="F62" s="234">
        <v>0</v>
      </c>
      <c r="G62" s="234">
        <v>0</v>
      </c>
      <c r="I62" s="233">
        <v>176087.5304642545</v>
      </c>
      <c r="J62" s="234">
        <v>176087.5304642545</v>
      </c>
      <c r="K62" s="234">
        <v>185173.29892247598</v>
      </c>
      <c r="L62" s="234">
        <v>194423.1739968155</v>
      </c>
      <c r="M62" s="234">
        <v>203839.52924274953</v>
      </c>
      <c r="N62" s="234">
        <v>213424.76927620257</v>
      </c>
    </row>
    <row r="63" spans="1:14" ht="13.5">
      <c r="A63" t="s">
        <v>74</v>
      </c>
      <c r="B63" s="235">
        <v>26890</v>
      </c>
      <c r="C63" s="234">
        <v>26956.28</v>
      </c>
      <c r="D63" s="234">
        <v>27225.8428</v>
      </c>
      <c r="E63" s="234">
        <v>27498.101228</v>
      </c>
      <c r="F63" s="234">
        <v>27773.08224028</v>
      </c>
      <c r="G63" s="234">
        <v>28050.813062682802</v>
      </c>
      <c r="I63" s="233">
        <v>31399</v>
      </c>
      <c r="J63" s="234">
        <v>31399</v>
      </c>
      <c r="K63" s="234">
        <v>33019.126326194404</v>
      </c>
      <c r="L63" s="234">
        <v>34668.51527891269</v>
      </c>
      <c r="M63" s="234">
        <v>36347.59009805272</v>
      </c>
      <c r="N63" s="234">
        <v>38056.77956204766</v>
      </c>
    </row>
    <row r="64" ht="13.5">
      <c r="J64" s="233"/>
    </row>
    <row r="66" spans="1:14" ht="13.5">
      <c r="A66" t="s">
        <v>6</v>
      </c>
      <c r="B66" s="234">
        <v>16500</v>
      </c>
      <c r="C66" s="234">
        <v>16500</v>
      </c>
      <c r="D66" s="234">
        <v>16665</v>
      </c>
      <c r="E66" s="234">
        <v>16831.65</v>
      </c>
      <c r="F66" s="234">
        <v>16999.966500000002</v>
      </c>
      <c r="G66" s="234">
        <v>17169.966165</v>
      </c>
      <c r="I66" s="238">
        <v>27500</v>
      </c>
      <c r="J66" s="234">
        <v>27500</v>
      </c>
      <c r="K66" s="234">
        <v>28918.94563426689</v>
      </c>
      <c r="L66" s="234">
        <v>30363.52018121911</v>
      </c>
      <c r="M66" s="234">
        <v>31834.09432454695</v>
      </c>
      <c r="N66" s="234">
        <v>33331.04359872322</v>
      </c>
    </row>
    <row r="67" spans="1:14" ht="13.5">
      <c r="A67" t="s">
        <v>7</v>
      </c>
      <c r="B67" s="234">
        <v>1500</v>
      </c>
      <c r="C67" s="234">
        <v>1500</v>
      </c>
      <c r="D67" s="234">
        <v>1515</v>
      </c>
      <c r="E67" s="234">
        <v>1530.15</v>
      </c>
      <c r="F67" s="234">
        <v>1545.4515000000001</v>
      </c>
      <c r="G67" s="234">
        <v>1560.9060150000003</v>
      </c>
      <c r="I67" s="238">
        <v>1500</v>
      </c>
      <c r="J67" s="234">
        <v>1500</v>
      </c>
      <c r="K67" s="234">
        <v>1577.3970345963758</v>
      </c>
      <c r="L67" s="234">
        <v>1656.1920098846788</v>
      </c>
      <c r="M67" s="234">
        <v>1736.405144975288</v>
      </c>
      <c r="N67" s="234">
        <v>1818.0569235667213</v>
      </c>
    </row>
    <row r="68" spans="1:14" ht="13.5">
      <c r="A68" t="s">
        <v>8</v>
      </c>
      <c r="B68" s="236"/>
      <c r="C68" s="236">
        <v>0</v>
      </c>
      <c r="D68" s="236">
        <v>0</v>
      </c>
      <c r="E68" s="236">
        <v>0</v>
      </c>
      <c r="F68" s="236">
        <v>0</v>
      </c>
      <c r="G68" s="236">
        <v>0</v>
      </c>
      <c r="I68" s="238">
        <v>0</v>
      </c>
      <c r="J68" s="244">
        <v>0</v>
      </c>
      <c r="K68" s="234">
        <v>0</v>
      </c>
      <c r="L68" s="234">
        <v>0</v>
      </c>
      <c r="M68" s="234">
        <v>0</v>
      </c>
      <c r="N68" s="234">
        <v>0</v>
      </c>
    </row>
    <row r="69" spans="1:14" ht="13.5">
      <c r="A69" t="s">
        <v>9</v>
      </c>
      <c r="B69" s="234">
        <v>4500</v>
      </c>
      <c r="C69" s="234">
        <v>7447.782857142857</v>
      </c>
      <c r="D69" s="234">
        <v>7522.2606857142855</v>
      </c>
      <c r="E69" s="234">
        <v>7597.483292571428</v>
      </c>
      <c r="F69" s="234">
        <v>7673.458125497143</v>
      </c>
      <c r="G69" s="234">
        <v>7750.192706752114</v>
      </c>
      <c r="I69" s="238">
        <v>0</v>
      </c>
      <c r="J69" s="245">
        <v>9033.928774305876</v>
      </c>
      <c r="K69" s="234">
        <v>9500.061639563306</v>
      </c>
      <c r="L69" s="234">
        <v>9974.613769248454</v>
      </c>
      <c r="M69" s="234">
        <v>10457.706935363347</v>
      </c>
      <c r="N69" s="234">
        <v>10949.464503423615</v>
      </c>
    </row>
    <row r="70" spans="1:14" ht="13.5">
      <c r="A70" t="s">
        <v>10</v>
      </c>
      <c r="B70" s="236"/>
      <c r="C70" s="236">
        <v>0</v>
      </c>
      <c r="D70" s="236">
        <v>0</v>
      </c>
      <c r="E70" s="236">
        <v>0</v>
      </c>
      <c r="F70" s="236">
        <v>0</v>
      </c>
      <c r="G70" s="236">
        <v>0</v>
      </c>
      <c r="I70" s="238">
        <v>0</v>
      </c>
      <c r="J70" s="244">
        <v>0</v>
      </c>
      <c r="K70" s="234">
        <v>0</v>
      </c>
      <c r="L70" s="234">
        <v>0</v>
      </c>
      <c r="M70" s="234">
        <v>0</v>
      </c>
      <c r="N70" s="234">
        <v>0</v>
      </c>
    </row>
    <row r="71" spans="1:14" ht="13.5">
      <c r="A71" t="s">
        <v>11</v>
      </c>
      <c r="B71" s="234"/>
      <c r="C71" s="237">
        <v>10000</v>
      </c>
      <c r="D71" s="234">
        <v>45000</v>
      </c>
      <c r="E71" s="234">
        <v>45450</v>
      </c>
      <c r="F71" s="234">
        <v>45904.5</v>
      </c>
      <c r="G71" s="234">
        <v>46363.545</v>
      </c>
      <c r="I71" s="238">
        <v>0</v>
      </c>
      <c r="J71" s="246">
        <v>25000</v>
      </c>
      <c r="K71" s="234">
        <v>27000</v>
      </c>
      <c r="L71" s="234">
        <v>28348.71835443038</v>
      </c>
      <c r="M71" s="234">
        <v>29721.71107594937</v>
      </c>
      <c r="N71" s="234">
        <v>31119.328780063297</v>
      </c>
    </row>
    <row r="72" spans="1:14" ht="13.5">
      <c r="A72" t="s">
        <v>44</v>
      </c>
      <c r="B72" s="234">
        <v>53472</v>
      </c>
      <c r="C72" s="234">
        <v>53472</v>
      </c>
      <c r="D72" s="234">
        <v>54006.72</v>
      </c>
      <c r="E72" s="234">
        <v>54546.7872</v>
      </c>
      <c r="F72" s="234">
        <v>55092.255072</v>
      </c>
      <c r="G72" s="234">
        <v>55643.17762272</v>
      </c>
      <c r="I72" s="238">
        <v>54475</v>
      </c>
      <c r="J72" s="234">
        <v>54475</v>
      </c>
      <c r="K72" s="234">
        <v>57285.802306425045</v>
      </c>
      <c r="L72" s="234">
        <v>60147.37315897859</v>
      </c>
      <c r="M72" s="234">
        <v>63060.44684835256</v>
      </c>
      <c r="N72" s="234">
        <v>66025.76727419812</v>
      </c>
    </row>
    <row r="73" spans="1:14" ht="13.5">
      <c r="A73" t="s">
        <v>12</v>
      </c>
      <c r="B73" s="234"/>
      <c r="C73" s="234">
        <v>10000</v>
      </c>
      <c r="D73" s="234">
        <v>15000</v>
      </c>
      <c r="E73" s="234">
        <v>15150</v>
      </c>
      <c r="F73" s="234">
        <v>15301.5</v>
      </c>
      <c r="G73" s="234">
        <v>15454.515</v>
      </c>
      <c r="I73" s="238">
        <v>10000</v>
      </c>
      <c r="J73" s="234">
        <v>10000</v>
      </c>
      <c r="K73" s="234">
        <v>10515.980230642503</v>
      </c>
      <c r="L73" s="234">
        <v>11041.280065897858</v>
      </c>
      <c r="M73" s="234">
        <v>11576.034299835253</v>
      </c>
      <c r="N73" s="234">
        <v>12120.379490444806</v>
      </c>
    </row>
    <row r="74" spans="1:14" ht="13.5">
      <c r="A74" t="s">
        <v>66</v>
      </c>
      <c r="B74" s="234">
        <v>33250</v>
      </c>
      <c r="C74" s="234">
        <v>33250</v>
      </c>
      <c r="D74" s="234">
        <v>33582.5</v>
      </c>
      <c r="E74" s="234">
        <v>33918.325</v>
      </c>
      <c r="F74" s="234">
        <v>34257.50825</v>
      </c>
      <c r="G74" s="234">
        <v>34600.0833325</v>
      </c>
      <c r="I74" s="238">
        <v>77750</v>
      </c>
      <c r="J74" s="234">
        <v>77750</v>
      </c>
      <c r="K74" s="234">
        <v>81761.74629324547</v>
      </c>
      <c r="L74" s="234">
        <v>85845.95251235583</v>
      </c>
      <c r="M74" s="234">
        <v>90003.66668121908</v>
      </c>
      <c r="N74" s="234">
        <v>94235.95053820837</v>
      </c>
    </row>
    <row r="75" ht="13.5">
      <c r="B75" s="234"/>
    </row>
    <row r="76" ht="13.5">
      <c r="B76" s="234"/>
    </row>
    <row r="77" spans="1:14" ht="13.5">
      <c r="A77" t="s">
        <v>19</v>
      </c>
      <c r="B77" s="234"/>
      <c r="C77" s="234">
        <v>0</v>
      </c>
      <c r="D77" s="234">
        <v>6928</v>
      </c>
      <c r="E77" s="234">
        <v>6997.28</v>
      </c>
      <c r="F77" s="234">
        <v>7067.2528</v>
      </c>
      <c r="G77" s="234">
        <v>7137.925328</v>
      </c>
      <c r="I77" s="238">
        <v>11000</v>
      </c>
      <c r="J77" s="234">
        <v>11000</v>
      </c>
      <c r="K77" s="234">
        <v>11567.578253706755</v>
      </c>
      <c r="L77" s="234">
        <v>12145.408072487646</v>
      </c>
      <c r="M77" s="234">
        <v>12733.637729818782</v>
      </c>
      <c r="N77" s="234">
        <v>13332.417439489293</v>
      </c>
    </row>
    <row r="78" spans="1:14" ht="13.5">
      <c r="A78" t="s">
        <v>20</v>
      </c>
      <c r="B78" s="234"/>
      <c r="C78" s="234">
        <v>0</v>
      </c>
      <c r="D78" s="234">
        <v>3717</v>
      </c>
      <c r="E78" s="234">
        <v>3754.17</v>
      </c>
      <c r="F78" s="234">
        <v>3791.7117000000003</v>
      </c>
      <c r="G78" s="234">
        <v>3829.6288170000003</v>
      </c>
      <c r="I78" s="238">
        <v>2500</v>
      </c>
      <c r="J78" s="234">
        <v>2500</v>
      </c>
      <c r="K78" s="234">
        <v>2628.9950576606257</v>
      </c>
      <c r="L78" s="234">
        <v>2760.3200164744644</v>
      </c>
      <c r="M78" s="234">
        <v>2894.0085749588134</v>
      </c>
      <c r="N78" s="234">
        <v>3030.0948726112015</v>
      </c>
    </row>
    <row r="79" spans="1:14" ht="13.5">
      <c r="A79" t="s">
        <v>21</v>
      </c>
      <c r="B79" s="234">
        <v>5500</v>
      </c>
      <c r="C79" s="234">
        <v>5500</v>
      </c>
      <c r="D79" s="234">
        <v>5555</v>
      </c>
      <c r="E79" s="234">
        <v>5610.55</v>
      </c>
      <c r="F79" s="234">
        <v>5666.6555</v>
      </c>
      <c r="G79" s="234">
        <v>5723.322055</v>
      </c>
      <c r="I79" s="238">
        <v>5400</v>
      </c>
      <c r="J79" s="234">
        <v>5400</v>
      </c>
      <c r="K79" s="234">
        <v>5678.629324546952</v>
      </c>
      <c r="L79" s="234">
        <v>5962.291235584845</v>
      </c>
      <c r="M79" s="234">
        <v>6251.05852191104</v>
      </c>
      <c r="N79" s="234">
        <v>6545.0049248402</v>
      </c>
    </row>
    <row r="80" spans="1:14" ht="13.5">
      <c r="A80" t="s">
        <v>22</v>
      </c>
      <c r="B80" s="234">
        <v>14927</v>
      </c>
      <c r="C80" s="234">
        <v>14927</v>
      </c>
      <c r="D80" s="234">
        <v>15076.27</v>
      </c>
      <c r="E80" s="234">
        <v>15227.0327</v>
      </c>
      <c r="F80" s="234">
        <v>15379.303027</v>
      </c>
      <c r="G80" s="234">
        <v>15533.09605727</v>
      </c>
      <c r="I80" s="238">
        <v>21302</v>
      </c>
      <c r="J80" s="234">
        <v>21302</v>
      </c>
      <c r="K80" s="234">
        <v>22401.141087314663</v>
      </c>
      <c r="L80" s="234">
        <v>23520.13479637562</v>
      </c>
      <c r="M80" s="234">
        <v>24659.268265509065</v>
      </c>
      <c r="N80" s="234">
        <v>25818.832390545536</v>
      </c>
    </row>
    <row r="81" spans="1:14" ht="13.5">
      <c r="A81" t="s">
        <v>201</v>
      </c>
      <c r="B81" s="234"/>
      <c r="C81" s="234">
        <v>7000</v>
      </c>
      <c r="D81" s="234">
        <v>27876</v>
      </c>
      <c r="E81" s="234">
        <v>28154.760000000002</v>
      </c>
      <c r="F81" s="234">
        <v>28436.307600000004</v>
      </c>
      <c r="G81" s="234">
        <v>28720.670676000005</v>
      </c>
      <c r="I81" s="238">
        <v>2500</v>
      </c>
      <c r="J81" s="246">
        <v>9000</v>
      </c>
      <c r="K81" s="234">
        <v>9464.382207578254</v>
      </c>
      <c r="L81" s="234">
        <v>9937.152059308073</v>
      </c>
      <c r="M81" s="234">
        <v>10418.43086985173</v>
      </c>
      <c r="N81" s="234">
        <v>10908.34154140033</v>
      </c>
    </row>
    <row r="82" ht="13.5">
      <c r="B82" s="234"/>
    </row>
    <row r="83" ht="13.5">
      <c r="B83" s="234"/>
    </row>
    <row r="84" spans="1:14" ht="13.5">
      <c r="A84" t="s">
        <v>240</v>
      </c>
      <c r="B84" s="234">
        <v>137500</v>
      </c>
      <c r="C84" s="224">
        <v>137500</v>
      </c>
      <c r="D84" s="224">
        <v>137500</v>
      </c>
      <c r="E84" s="224">
        <v>137500</v>
      </c>
      <c r="F84" s="224">
        <v>137500</v>
      </c>
      <c r="G84" s="224">
        <v>137500</v>
      </c>
      <c r="I84" s="238">
        <v>137500</v>
      </c>
      <c r="J84" s="238">
        <v>137500</v>
      </c>
      <c r="K84" s="238">
        <v>137500</v>
      </c>
      <c r="L84" s="238">
        <v>137500</v>
      </c>
      <c r="M84" s="238">
        <v>137500</v>
      </c>
      <c r="N84" s="238">
        <v>137500</v>
      </c>
    </row>
    <row r="85" spans="1:14" ht="13.5">
      <c r="A85" t="s">
        <v>241</v>
      </c>
      <c r="B85" s="234">
        <v>631495.5</v>
      </c>
      <c r="C85" s="234">
        <v>631495.5</v>
      </c>
      <c r="D85" s="234">
        <v>595934.6717792711</v>
      </c>
      <c r="E85" s="224">
        <v>595934.6717792711</v>
      </c>
      <c r="F85" s="224">
        <v>595934.6717792711</v>
      </c>
      <c r="G85" s="224">
        <v>595934.6717792711</v>
      </c>
      <c r="I85" s="238">
        <v>631495.5</v>
      </c>
      <c r="J85" s="247">
        <v>631495.5</v>
      </c>
      <c r="K85" s="247">
        <v>595934.6717792711</v>
      </c>
      <c r="L85" s="238">
        <v>595934.6717792711</v>
      </c>
      <c r="M85" s="238">
        <v>595934.6717792711</v>
      </c>
      <c r="N85" s="238">
        <v>595934.6717792711</v>
      </c>
    </row>
    <row r="86" spans="1:14" ht="13.5">
      <c r="A86" s="273" t="s">
        <v>205</v>
      </c>
      <c r="B86" s="234">
        <v>7397</v>
      </c>
      <c r="C86" s="224">
        <v>7397</v>
      </c>
      <c r="D86" s="224">
        <v>7397</v>
      </c>
      <c r="E86" s="224">
        <v>7397</v>
      </c>
      <c r="F86" s="224">
        <v>7397</v>
      </c>
      <c r="G86" s="224">
        <v>7397</v>
      </c>
      <c r="I86" s="238">
        <v>0</v>
      </c>
      <c r="J86" s="238">
        <v>0</v>
      </c>
      <c r="K86" s="238">
        <v>0</v>
      </c>
      <c r="L86" s="238">
        <v>0</v>
      </c>
      <c r="M86" s="238">
        <v>0</v>
      </c>
      <c r="N86" s="238">
        <v>0</v>
      </c>
    </row>
    <row r="87" spans="1:14" ht="13.5">
      <c r="A87" t="s">
        <v>242</v>
      </c>
      <c r="B87" s="234"/>
      <c r="E87" s="238"/>
      <c r="F87" s="238"/>
      <c r="G87" s="238"/>
      <c r="I87" s="238"/>
      <c r="J87" s="238">
        <v>0</v>
      </c>
      <c r="K87" s="238">
        <v>0</v>
      </c>
      <c r="L87" s="238">
        <v>0</v>
      </c>
      <c r="M87" s="238">
        <v>0</v>
      </c>
      <c r="N87" s="238">
        <v>0</v>
      </c>
    </row>
    <row r="88" ht="13.5">
      <c r="B88" s="234"/>
    </row>
    <row r="89" ht="13.5">
      <c r="B89" s="234"/>
    </row>
    <row r="90" spans="1:14" ht="13.5">
      <c r="A90" t="s">
        <v>243</v>
      </c>
      <c r="B90" s="234">
        <v>2500</v>
      </c>
      <c r="C90" s="234">
        <v>2500</v>
      </c>
      <c r="D90" s="234">
        <v>2525</v>
      </c>
      <c r="E90" s="234">
        <v>2550.25</v>
      </c>
      <c r="F90" s="234">
        <v>2575.7525</v>
      </c>
      <c r="G90" s="234">
        <v>2601.510025</v>
      </c>
      <c r="I90" s="238">
        <v>2500</v>
      </c>
      <c r="J90" s="234">
        <v>2500</v>
      </c>
      <c r="K90" s="234">
        <v>2525</v>
      </c>
      <c r="L90" s="234">
        <v>2550.25</v>
      </c>
      <c r="M90" s="234">
        <v>2575.7525</v>
      </c>
      <c r="N90" s="234">
        <v>2601.510025</v>
      </c>
    </row>
    <row r="91" spans="1:14" ht="13.5">
      <c r="A91" t="s">
        <v>207</v>
      </c>
      <c r="B91" s="234">
        <v>18549</v>
      </c>
      <c r="C91" s="234">
        <v>18549</v>
      </c>
      <c r="D91" s="234">
        <v>18734.49</v>
      </c>
      <c r="E91" s="234">
        <v>18921.8349</v>
      </c>
      <c r="F91" s="234">
        <v>19111.053249</v>
      </c>
      <c r="G91" s="234">
        <v>19302.163781490002</v>
      </c>
      <c r="I91" s="238">
        <v>2500</v>
      </c>
      <c r="J91" s="234">
        <v>2500</v>
      </c>
      <c r="K91" s="234">
        <v>2525</v>
      </c>
      <c r="L91" s="234">
        <v>2550.25</v>
      </c>
      <c r="M91" s="234">
        <v>2575.7525</v>
      </c>
      <c r="N91" s="234">
        <v>2601.510025</v>
      </c>
    </row>
    <row r="92" spans="1:14" ht="13.5">
      <c r="A92" t="s">
        <v>16</v>
      </c>
      <c r="B92" s="234">
        <v>1165</v>
      </c>
      <c r="C92" s="239">
        <v>16884.50704225352</v>
      </c>
      <c r="D92" s="234">
        <v>17053.352112676057</v>
      </c>
      <c r="E92" s="234">
        <v>17223.885633802816</v>
      </c>
      <c r="F92" s="234">
        <v>17396.124490140846</v>
      </c>
      <c r="G92" s="234">
        <v>17570.085735042256</v>
      </c>
      <c r="I92" s="238">
        <v>6976</v>
      </c>
      <c r="J92" s="239">
        <v>23515.69295774648</v>
      </c>
      <c r="K92" s="234">
        <v>23750.849887323944</v>
      </c>
      <c r="L92" s="234">
        <v>23988.358386197182</v>
      </c>
      <c r="M92" s="234">
        <v>24228.241970059153</v>
      </c>
      <c r="N92" s="234">
        <v>24470.524389759743</v>
      </c>
    </row>
    <row r="93" spans="1:14" ht="13.5">
      <c r="A93" t="s">
        <v>244</v>
      </c>
      <c r="B93" s="234">
        <v>24459</v>
      </c>
      <c r="C93" s="234">
        <v>24459</v>
      </c>
      <c r="D93" s="234">
        <v>24703.59</v>
      </c>
      <c r="E93" s="234">
        <v>24950.6259</v>
      </c>
      <c r="F93" s="234">
        <v>25200.132159</v>
      </c>
      <c r="G93" s="234">
        <v>25452.13348059</v>
      </c>
      <c r="I93" s="238">
        <v>24459</v>
      </c>
      <c r="J93" s="234">
        <v>24459</v>
      </c>
      <c r="K93" s="234">
        <v>24703.59</v>
      </c>
      <c r="L93" s="234">
        <v>24950.6259</v>
      </c>
      <c r="M93" s="234">
        <v>25200.132159</v>
      </c>
      <c r="N93" s="234">
        <v>25452.13348059</v>
      </c>
    </row>
    <row r="94" spans="1:14" ht="13.5">
      <c r="A94" t="s">
        <v>209</v>
      </c>
      <c r="B94" s="234">
        <v>2000</v>
      </c>
      <c r="C94" s="234">
        <v>2000</v>
      </c>
      <c r="D94" s="234">
        <v>2020</v>
      </c>
      <c r="E94" s="234">
        <v>2040.2</v>
      </c>
      <c r="F94" s="234">
        <v>2060.602</v>
      </c>
      <c r="G94" s="234">
        <v>2081.20802</v>
      </c>
      <c r="I94" s="238">
        <v>21500</v>
      </c>
      <c r="J94" s="234">
        <v>21500</v>
      </c>
      <c r="K94" s="234">
        <v>21715</v>
      </c>
      <c r="L94" s="234">
        <v>21932.15</v>
      </c>
      <c r="M94" s="234">
        <v>22151.471500000003</v>
      </c>
      <c r="N94" s="234">
        <v>22372.986215000004</v>
      </c>
    </row>
    <row r="95" spans="1:14" ht="13.5">
      <c r="A95" t="s">
        <v>245</v>
      </c>
      <c r="B95" s="234">
        <v>45395</v>
      </c>
      <c r="C95" s="234">
        <v>8984.492957746479</v>
      </c>
      <c r="D95" s="234">
        <v>9074.337887323944</v>
      </c>
      <c r="E95" s="234">
        <v>9165.081266197183</v>
      </c>
      <c r="F95" s="234">
        <v>9256.732078859155</v>
      </c>
      <c r="G95" s="234">
        <v>9349.299399647747</v>
      </c>
      <c r="I95" s="238">
        <v>68530</v>
      </c>
      <c r="J95" s="236">
        <v>6204.649044627913</v>
      </c>
      <c r="K95" s="234">
        <v>6266.695535074192</v>
      </c>
      <c r="L95" s="234">
        <v>6329.362490424934</v>
      </c>
      <c r="M95" s="234">
        <v>6392.656115329183</v>
      </c>
      <c r="N95" s="234">
        <v>6456.582676482475</v>
      </c>
    </row>
    <row r="96" spans="1:14" ht="13.5">
      <c r="A96" t="s">
        <v>210</v>
      </c>
      <c r="B96" s="234">
        <v>33700</v>
      </c>
      <c r="C96" s="234">
        <v>33700</v>
      </c>
      <c r="D96" s="234">
        <v>34037</v>
      </c>
      <c r="E96" s="234">
        <v>34377.37</v>
      </c>
      <c r="F96" s="234">
        <v>34721.1437</v>
      </c>
      <c r="G96" s="234">
        <v>35068.355137</v>
      </c>
      <c r="I96" s="238">
        <v>25500</v>
      </c>
      <c r="J96" s="234">
        <v>25500</v>
      </c>
      <c r="K96" s="234">
        <v>25755</v>
      </c>
      <c r="L96" s="234">
        <v>26012.55</v>
      </c>
      <c r="M96" s="234">
        <v>26272.6755</v>
      </c>
      <c r="N96" s="234">
        <v>26535.402255</v>
      </c>
    </row>
    <row r="97" spans="1:14" ht="13.5">
      <c r="A97" t="s">
        <v>24</v>
      </c>
      <c r="B97" s="234">
        <v>18100</v>
      </c>
      <c r="C97" s="234">
        <v>18100</v>
      </c>
      <c r="D97" s="234">
        <v>18281</v>
      </c>
      <c r="E97" s="234">
        <v>18463.81</v>
      </c>
      <c r="F97" s="234">
        <v>18648.4481</v>
      </c>
      <c r="G97" s="234">
        <v>18834.932581</v>
      </c>
      <c r="I97" s="238">
        <v>17000</v>
      </c>
      <c r="J97" s="234">
        <v>17000</v>
      </c>
      <c r="K97" s="234">
        <v>17170</v>
      </c>
      <c r="L97" s="234">
        <v>17341.7</v>
      </c>
      <c r="M97" s="234">
        <v>17515.117000000002</v>
      </c>
      <c r="N97" s="234">
        <v>17690.268170000003</v>
      </c>
    </row>
    <row r="98" spans="1:14" ht="13.5">
      <c r="A98" t="s">
        <v>211</v>
      </c>
      <c r="B98" s="234">
        <v>77575</v>
      </c>
      <c r="C98" s="234">
        <v>77575</v>
      </c>
      <c r="D98" s="234">
        <v>78350.75</v>
      </c>
      <c r="E98" s="234">
        <v>79134.2575</v>
      </c>
      <c r="F98" s="234">
        <v>79925.60007500001</v>
      </c>
      <c r="G98" s="234">
        <v>80724.85607575001</v>
      </c>
      <c r="I98" s="238">
        <v>7775</v>
      </c>
      <c r="J98" s="234">
        <v>45000</v>
      </c>
      <c r="K98" s="234">
        <v>45450</v>
      </c>
      <c r="L98" s="234">
        <v>45904.5</v>
      </c>
      <c r="M98" s="234">
        <v>46363.545</v>
      </c>
      <c r="N98" s="234">
        <v>46827.18045</v>
      </c>
    </row>
    <row r="99" spans="1:14" ht="13.5">
      <c r="A99" t="s">
        <v>30</v>
      </c>
      <c r="B99" s="234">
        <v>150</v>
      </c>
      <c r="C99" s="234">
        <v>150</v>
      </c>
      <c r="D99" s="234">
        <v>151.5</v>
      </c>
      <c r="E99" s="234">
        <v>153.01500000000001</v>
      </c>
      <c r="F99" s="234">
        <v>154.54515</v>
      </c>
      <c r="G99" s="234">
        <v>156.09060150000002</v>
      </c>
      <c r="I99" s="238">
        <v>1500</v>
      </c>
      <c r="J99" s="234">
        <v>1500</v>
      </c>
      <c r="K99" s="234">
        <v>1515</v>
      </c>
      <c r="L99" s="234">
        <v>1530.15</v>
      </c>
      <c r="M99" s="234">
        <v>1545.4515000000001</v>
      </c>
      <c r="N99" s="234">
        <v>1560.9060150000003</v>
      </c>
    </row>
    <row r="100" spans="1:14" ht="13.5">
      <c r="A100" t="s">
        <v>31</v>
      </c>
      <c r="B100" s="234">
        <v>1125</v>
      </c>
      <c r="C100" s="234">
        <v>1125</v>
      </c>
      <c r="D100" s="234">
        <v>1136.25</v>
      </c>
      <c r="E100" s="234">
        <v>1147.6125</v>
      </c>
      <c r="F100" s="234">
        <v>1159.0886249999999</v>
      </c>
      <c r="G100" s="234">
        <v>1170.67951125</v>
      </c>
      <c r="I100" s="238">
        <v>5000</v>
      </c>
      <c r="J100" s="234">
        <v>5000</v>
      </c>
      <c r="K100" s="234">
        <v>5050</v>
      </c>
      <c r="L100" s="234">
        <v>5100.5</v>
      </c>
      <c r="M100" s="234">
        <v>5151.505</v>
      </c>
      <c r="N100" s="234">
        <v>5203.02005</v>
      </c>
    </row>
    <row r="101" spans="1:14" ht="13.5">
      <c r="A101" t="s">
        <v>246</v>
      </c>
      <c r="B101" s="234">
        <v>54500</v>
      </c>
      <c r="C101" s="234">
        <v>54500</v>
      </c>
      <c r="D101" s="234">
        <v>55045</v>
      </c>
      <c r="E101" s="234">
        <v>55595.45</v>
      </c>
      <c r="F101" s="234">
        <v>56151.4045</v>
      </c>
      <c r="G101" s="234">
        <v>56712.918545</v>
      </c>
      <c r="I101" s="238">
        <v>9000</v>
      </c>
      <c r="J101" s="248">
        <v>11000</v>
      </c>
      <c r="K101" s="234">
        <v>11110</v>
      </c>
      <c r="L101" s="234">
        <v>11221.1</v>
      </c>
      <c r="M101" s="234">
        <v>11333.311</v>
      </c>
      <c r="N101" s="234">
        <v>11446.64411</v>
      </c>
    </row>
    <row r="102" spans="1:14" ht="13.5">
      <c r="A102" t="s">
        <v>212</v>
      </c>
      <c r="B102" s="234"/>
      <c r="C102" s="239">
        <v>0</v>
      </c>
      <c r="D102" s="234">
        <v>18180</v>
      </c>
      <c r="E102" s="234">
        <v>18361.8</v>
      </c>
      <c r="F102" s="234">
        <v>18545.417999999998</v>
      </c>
      <c r="G102" s="234">
        <v>18730.87218</v>
      </c>
      <c r="I102" s="238">
        <v>0</v>
      </c>
      <c r="J102" s="238">
        <v>0</v>
      </c>
      <c r="K102" s="234">
        <v>0</v>
      </c>
      <c r="L102" s="234">
        <v>0</v>
      </c>
      <c r="M102" s="234">
        <v>10500</v>
      </c>
      <c r="N102" s="234">
        <v>10605</v>
      </c>
    </row>
    <row r="103" spans="1:14" ht="13.5">
      <c r="A103" t="s">
        <v>27</v>
      </c>
      <c r="B103" s="234">
        <v>360850</v>
      </c>
      <c r="C103" s="234">
        <v>360850</v>
      </c>
      <c r="D103" s="234">
        <v>364458.5</v>
      </c>
      <c r="E103" s="234">
        <v>368103.085</v>
      </c>
      <c r="F103" s="234">
        <v>371784.11585</v>
      </c>
      <c r="G103" s="234">
        <v>375501.9570085</v>
      </c>
      <c r="I103" s="241">
        <v>327825</v>
      </c>
      <c r="J103" s="234">
        <v>327825</v>
      </c>
      <c r="K103" s="234">
        <v>344740.1219110379</v>
      </c>
      <c r="L103" s="234">
        <v>361960.7637602965</v>
      </c>
      <c r="M103" s="234">
        <v>379491.3444343492</v>
      </c>
      <c r="N103" s="234">
        <v>397336.3406455069</v>
      </c>
    </row>
    <row r="104" spans="1:14" ht="13.5">
      <c r="A104" t="s">
        <v>28</v>
      </c>
      <c r="B104" s="234">
        <v>17600</v>
      </c>
      <c r="C104" s="234">
        <v>17600</v>
      </c>
      <c r="D104" s="234">
        <v>17776</v>
      </c>
      <c r="E104" s="234">
        <v>17953.76</v>
      </c>
      <c r="F104" s="234">
        <v>18133.297599999998</v>
      </c>
      <c r="G104" s="234">
        <v>18314.630576</v>
      </c>
      <c r="I104" s="238">
        <v>97600</v>
      </c>
      <c r="J104" s="234">
        <v>97600</v>
      </c>
      <c r="K104" s="234">
        <v>98576</v>
      </c>
      <c r="L104" s="234">
        <v>99561.76</v>
      </c>
      <c r="M104" s="234">
        <v>100557.37759999999</v>
      </c>
      <c r="N104" s="234">
        <v>101562.951376</v>
      </c>
    </row>
    <row r="105" spans="1:14" ht="13.5">
      <c r="A105" t="s">
        <v>83</v>
      </c>
      <c r="B105" s="234">
        <v>499.5</v>
      </c>
      <c r="C105" s="234">
        <v>499.5</v>
      </c>
      <c r="D105" s="234">
        <v>504.495</v>
      </c>
      <c r="E105" s="234">
        <v>509.53995000000003</v>
      </c>
      <c r="F105" s="234">
        <v>514.6353495000001</v>
      </c>
      <c r="G105" s="234">
        <v>519.781702995</v>
      </c>
      <c r="I105" s="238">
        <v>1073.5</v>
      </c>
      <c r="J105" s="248">
        <v>5000</v>
      </c>
      <c r="K105" s="234">
        <v>5257.990115321251</v>
      </c>
      <c r="L105" s="234">
        <v>5520.640032948929</v>
      </c>
      <c r="M105" s="234">
        <v>5788.017149917627</v>
      </c>
      <c r="N105" s="234">
        <v>6060.189745222403</v>
      </c>
    </row>
    <row r="106" spans="1:14" ht="13.5">
      <c r="A106" t="s">
        <v>213</v>
      </c>
      <c r="B106" s="234">
        <v>10626</v>
      </c>
      <c r="C106" s="234">
        <v>10626</v>
      </c>
      <c r="D106" s="234">
        <v>10732.26</v>
      </c>
      <c r="E106" s="234">
        <v>10839.5826</v>
      </c>
      <c r="F106" s="234">
        <v>10947.978426</v>
      </c>
      <c r="G106" s="234">
        <v>11057.45821026</v>
      </c>
      <c r="I106" s="238">
        <v>0</v>
      </c>
      <c r="J106" s="248">
        <v>6000</v>
      </c>
      <c r="K106" s="234">
        <v>6309.588138385503</v>
      </c>
      <c r="L106" s="234">
        <v>6624.768039538715</v>
      </c>
      <c r="M106" s="234">
        <v>6945.620579901152</v>
      </c>
      <c r="N106" s="234">
        <v>7272.227694266885</v>
      </c>
    </row>
    <row r="107" spans="1:14" ht="13.5">
      <c r="A107" t="s">
        <v>214</v>
      </c>
      <c r="B107" s="234"/>
      <c r="C107" s="236">
        <v>8033.8057714285715</v>
      </c>
      <c r="D107" s="234">
        <v>8114.143829142858</v>
      </c>
      <c r="E107" s="234">
        <v>8195.285267434287</v>
      </c>
      <c r="F107" s="234">
        <v>8277.23812010863</v>
      </c>
      <c r="G107" s="234">
        <v>8360.010501309716</v>
      </c>
      <c r="I107" s="238">
        <v>0</v>
      </c>
      <c r="J107" s="248">
        <v>3800</v>
      </c>
      <c r="K107" s="234">
        <v>3996.0724876441514</v>
      </c>
      <c r="L107" s="234">
        <v>4195.686425041185</v>
      </c>
      <c r="M107" s="234">
        <v>4398.8930339373965</v>
      </c>
      <c r="N107" s="234">
        <v>4605.744206369027</v>
      </c>
    </row>
    <row r="108" spans="1:14" ht="13.5">
      <c r="A108" t="s">
        <v>215</v>
      </c>
      <c r="B108" s="234"/>
      <c r="C108" s="236">
        <v>2500</v>
      </c>
      <c r="D108" s="234">
        <v>2525</v>
      </c>
      <c r="E108" s="234">
        <v>2550.25</v>
      </c>
      <c r="F108" s="234">
        <v>2575.7525</v>
      </c>
      <c r="G108" s="234">
        <v>2601.510025</v>
      </c>
      <c r="I108" s="238">
        <v>0</v>
      </c>
      <c r="J108" s="248">
        <v>3032.4221810662107</v>
      </c>
      <c r="K108" s="234">
        <v>3188.8891707054095</v>
      </c>
      <c r="L108" s="234">
        <v>3348.182257919286</v>
      </c>
      <c r="M108" s="234">
        <v>3510.3423179603687</v>
      </c>
      <c r="N108" s="234">
        <v>3675.410760976482</v>
      </c>
    </row>
    <row r="109" spans="1:14" ht="13.5">
      <c r="A109" t="s">
        <v>216</v>
      </c>
      <c r="B109" s="234"/>
      <c r="C109" s="236">
        <v>18000</v>
      </c>
      <c r="D109" s="234">
        <v>18180</v>
      </c>
      <c r="E109" s="234">
        <v>18361.8</v>
      </c>
      <c r="F109" s="234">
        <v>18545.417999999998</v>
      </c>
      <c r="G109" s="234">
        <v>18730.87218</v>
      </c>
      <c r="I109" s="238">
        <v>109376</v>
      </c>
      <c r="J109" s="234">
        <v>109376</v>
      </c>
      <c r="K109" s="234">
        <v>115019.58537067544</v>
      </c>
      <c r="L109" s="234">
        <v>120765.1048487644</v>
      </c>
      <c r="M109" s="234">
        <v>126614.03275787809</v>
      </c>
      <c r="N109" s="234">
        <v>132567.86271468917</v>
      </c>
    </row>
    <row r="110" spans="1:14" ht="13.5">
      <c r="A110" t="s">
        <v>217</v>
      </c>
      <c r="B110" s="234">
        <v>6750</v>
      </c>
      <c r="C110" s="234">
        <v>6750</v>
      </c>
      <c r="D110" s="234">
        <v>6817.5</v>
      </c>
      <c r="E110" s="234">
        <v>6885.675</v>
      </c>
      <c r="F110" s="234">
        <v>6954.53175</v>
      </c>
      <c r="G110" s="234">
        <v>7024.0770675</v>
      </c>
      <c r="I110" s="238">
        <v>9500</v>
      </c>
      <c r="J110" s="234">
        <v>9500</v>
      </c>
      <c r="K110" s="234">
        <v>9595</v>
      </c>
      <c r="L110" s="234">
        <v>9690.95</v>
      </c>
      <c r="M110" s="234">
        <v>9787.8595</v>
      </c>
      <c r="N110" s="234">
        <v>9885.738095</v>
      </c>
    </row>
    <row r="111" spans="1:14" ht="13.5">
      <c r="A111" t="s">
        <v>218</v>
      </c>
      <c r="B111" s="234">
        <v>0</v>
      </c>
      <c r="C111" s="234">
        <v>0</v>
      </c>
      <c r="D111" s="234">
        <v>0</v>
      </c>
      <c r="E111" s="234">
        <v>0</v>
      </c>
      <c r="F111" s="234">
        <v>0</v>
      </c>
      <c r="G111" s="234">
        <v>0</v>
      </c>
      <c r="I111" s="238">
        <v>500</v>
      </c>
      <c r="J111" s="234">
        <v>500</v>
      </c>
      <c r="K111" s="234">
        <v>505</v>
      </c>
      <c r="L111" s="234">
        <v>510.05</v>
      </c>
      <c r="M111" s="234">
        <v>515.1505</v>
      </c>
      <c r="N111" s="234">
        <v>520.302005</v>
      </c>
    </row>
    <row r="112" spans="1:2" ht="13.5">
      <c r="A112" t="s">
        <v>82</v>
      </c>
      <c r="B112" s="234"/>
    </row>
    <row r="113" ht="13.5">
      <c r="B113" s="234"/>
    </row>
    <row r="114" ht="13.5">
      <c r="B114" s="234"/>
    </row>
    <row r="115" spans="1:14" ht="13.5">
      <c r="A115" t="s">
        <v>247</v>
      </c>
      <c r="B115" s="234">
        <v>279354</v>
      </c>
      <c r="C115" s="234">
        <v>279354</v>
      </c>
      <c r="D115" s="234">
        <v>282147.54</v>
      </c>
      <c r="E115" s="234">
        <v>284969.0154</v>
      </c>
      <c r="F115" s="234">
        <v>287818.705554</v>
      </c>
      <c r="G115" s="234">
        <v>290696.89260953997</v>
      </c>
      <c r="I115" s="238">
        <v>11362</v>
      </c>
      <c r="J115" s="234">
        <v>11362</v>
      </c>
      <c r="K115" s="234">
        <v>11475.62</v>
      </c>
      <c r="L115" s="234">
        <v>11590.3762</v>
      </c>
      <c r="M115" s="234">
        <v>11706.279962</v>
      </c>
      <c r="N115" s="234">
        <v>11823.34276162</v>
      </c>
    </row>
    <row r="116" spans="1:14" ht="13.5">
      <c r="A116" t="s">
        <v>220</v>
      </c>
      <c r="B116" s="234"/>
      <c r="C116" s="234">
        <v>13500</v>
      </c>
      <c r="D116" s="234">
        <v>13635</v>
      </c>
      <c r="E116" s="234">
        <v>13771.35</v>
      </c>
      <c r="F116" s="234">
        <v>13909.0635</v>
      </c>
      <c r="G116" s="234">
        <v>14048.154135</v>
      </c>
      <c r="I116" s="238">
        <v>34000</v>
      </c>
      <c r="J116" s="234">
        <v>34000</v>
      </c>
      <c r="K116" s="234">
        <v>35754.33278418452</v>
      </c>
      <c r="L116" s="234">
        <v>37540.352224052716</v>
      </c>
      <c r="M116" s="234">
        <v>39358.51661943987</v>
      </c>
      <c r="N116" s="234">
        <v>41209.290267512355</v>
      </c>
    </row>
    <row r="117" spans="1:14" ht="13.5">
      <c r="A117" t="s">
        <v>34</v>
      </c>
      <c r="B117" s="234">
        <v>70000</v>
      </c>
      <c r="C117" s="234">
        <v>70000</v>
      </c>
      <c r="D117" s="234">
        <v>70700</v>
      </c>
      <c r="E117" s="234">
        <v>71407</v>
      </c>
      <c r="F117" s="234">
        <v>72121.07</v>
      </c>
      <c r="G117" s="234">
        <v>72842.2807</v>
      </c>
      <c r="I117" s="238">
        <v>115500</v>
      </c>
      <c r="J117" s="234">
        <v>115500</v>
      </c>
      <c r="K117" s="234">
        <v>121459.57166392091</v>
      </c>
      <c r="L117" s="234">
        <v>127526.78476112025</v>
      </c>
      <c r="M117" s="234">
        <v>133703.1961630972</v>
      </c>
      <c r="N117" s="234">
        <v>139990.38311463755</v>
      </c>
    </row>
    <row r="118" spans="1:14" ht="13.5">
      <c r="A118" t="s">
        <v>103</v>
      </c>
      <c r="B118" s="234">
        <v>27000</v>
      </c>
      <c r="C118" s="234">
        <v>27000</v>
      </c>
      <c r="D118" s="234">
        <v>27270</v>
      </c>
      <c r="E118" s="234">
        <v>27542.7</v>
      </c>
      <c r="F118" s="234">
        <v>27818.127</v>
      </c>
      <c r="G118" s="234">
        <v>28096.30827</v>
      </c>
      <c r="I118" s="238">
        <v>11000</v>
      </c>
      <c r="J118" s="234">
        <v>11000</v>
      </c>
      <c r="K118" s="234">
        <v>11567.578253706755</v>
      </c>
      <c r="L118" s="234">
        <v>12145.408072487646</v>
      </c>
      <c r="M118" s="234">
        <v>12733.637729818782</v>
      </c>
      <c r="N118" s="234">
        <v>13332.417439489293</v>
      </c>
    </row>
    <row r="119" spans="1:14" ht="13.5">
      <c r="A119" t="s">
        <v>35</v>
      </c>
      <c r="B119" s="234">
        <v>10500</v>
      </c>
      <c r="C119" s="234">
        <v>10500</v>
      </c>
      <c r="D119" s="234">
        <v>10605</v>
      </c>
      <c r="E119" s="234">
        <v>10711.05</v>
      </c>
      <c r="F119" s="234">
        <v>10818.1605</v>
      </c>
      <c r="G119" s="234">
        <v>10926.342105</v>
      </c>
      <c r="I119" s="238">
        <v>10500</v>
      </c>
      <c r="J119" s="234">
        <v>10500</v>
      </c>
      <c r="K119" s="234">
        <v>11041.77924217463</v>
      </c>
      <c r="L119" s="234">
        <v>11593.344069192754</v>
      </c>
      <c r="M119" s="234">
        <v>12154.83601482702</v>
      </c>
      <c r="N119" s="234">
        <v>12726.398464967053</v>
      </c>
    </row>
    <row r="120" spans="1:14" ht="13.5">
      <c r="A120" t="s">
        <v>36</v>
      </c>
      <c r="B120" s="234">
        <v>37501.5</v>
      </c>
      <c r="C120" s="234">
        <v>37501.5</v>
      </c>
      <c r="D120" s="234">
        <v>37876.515</v>
      </c>
      <c r="E120" s="234">
        <v>38255.28015</v>
      </c>
      <c r="F120" s="234">
        <v>38637.8329515</v>
      </c>
      <c r="G120" s="234">
        <v>39024.211281015</v>
      </c>
      <c r="I120" s="238">
        <v>75000</v>
      </c>
      <c r="J120" s="234">
        <v>75000</v>
      </c>
      <c r="K120" s="234">
        <v>78869.85172981878</v>
      </c>
      <c r="L120" s="234">
        <v>82809.60049423395</v>
      </c>
      <c r="M120" s="234">
        <v>86820.25724876444</v>
      </c>
      <c r="N120" s="234">
        <v>90902.8461783361</v>
      </c>
    </row>
    <row r="121" spans="1:14" ht="13.5">
      <c r="A121" t="s">
        <v>25</v>
      </c>
      <c r="B121" s="234">
        <v>31500</v>
      </c>
      <c r="C121" s="234">
        <v>31500</v>
      </c>
      <c r="D121" s="234">
        <v>31815</v>
      </c>
      <c r="E121" s="234">
        <v>32133.15</v>
      </c>
      <c r="F121" s="234">
        <v>32454.4815</v>
      </c>
      <c r="G121" s="234">
        <v>32779.026315</v>
      </c>
      <c r="I121" s="238">
        <v>27000</v>
      </c>
      <c r="J121" s="234">
        <v>27000</v>
      </c>
      <c r="K121" s="234">
        <v>28393.146622734763</v>
      </c>
      <c r="L121" s="234">
        <v>29811.456177924218</v>
      </c>
      <c r="M121" s="234">
        <v>31255.29260955519</v>
      </c>
      <c r="N121" s="234">
        <v>32725.02462420099</v>
      </c>
    </row>
    <row r="122" spans="1:14" ht="13.5">
      <c r="A122" t="s">
        <v>29</v>
      </c>
      <c r="B122" s="234">
        <v>21995</v>
      </c>
      <c r="C122" s="234">
        <v>21995</v>
      </c>
      <c r="D122" s="234">
        <v>22214.95</v>
      </c>
      <c r="E122" s="234">
        <v>22437.0995</v>
      </c>
      <c r="F122" s="234">
        <v>22661.470495</v>
      </c>
      <c r="G122" s="234">
        <v>22888.08519995</v>
      </c>
      <c r="I122" s="238">
        <v>22645</v>
      </c>
      <c r="J122" s="234">
        <v>22645</v>
      </c>
      <c r="K122" s="234">
        <v>23813.43723228995</v>
      </c>
      <c r="L122" s="234">
        <v>25002.978709225703</v>
      </c>
      <c r="M122" s="234">
        <v>26213.92967197694</v>
      </c>
      <c r="N122" s="234">
        <v>27446.599356112278</v>
      </c>
    </row>
    <row r="123" spans="1:14" ht="13.5">
      <c r="A123" t="s">
        <v>248</v>
      </c>
      <c r="B123" s="234">
        <v>16000</v>
      </c>
      <c r="C123" s="234">
        <v>16000</v>
      </c>
      <c r="D123" s="234">
        <v>16160</v>
      </c>
      <c r="E123" s="234">
        <v>16321.6</v>
      </c>
      <c r="F123" s="234">
        <v>16484.816</v>
      </c>
      <c r="G123" s="234">
        <v>16649.66416</v>
      </c>
      <c r="I123" s="238">
        <v>0</v>
      </c>
      <c r="J123" s="234">
        <v>0</v>
      </c>
      <c r="K123" s="234">
        <v>0</v>
      </c>
      <c r="L123" s="234">
        <v>0</v>
      </c>
      <c r="M123" s="234">
        <v>0</v>
      </c>
      <c r="N123" s="234">
        <v>0</v>
      </c>
    </row>
    <row r="124" spans="1:14" ht="13.5">
      <c r="A124" t="s">
        <v>222</v>
      </c>
      <c r="B124" s="234">
        <v>35000</v>
      </c>
      <c r="C124" s="234">
        <v>35000</v>
      </c>
      <c r="D124" s="234">
        <v>35350</v>
      </c>
      <c r="E124" s="234">
        <v>35703.5</v>
      </c>
      <c r="F124" s="234">
        <v>36060.535</v>
      </c>
      <c r="G124" s="234">
        <v>36421.14035</v>
      </c>
      <c r="I124" s="238">
        <v>45000</v>
      </c>
      <c r="J124" s="234">
        <v>45000</v>
      </c>
      <c r="K124" s="234">
        <v>47321.91103789127</v>
      </c>
      <c r="L124" s="234">
        <v>49685.760296540364</v>
      </c>
      <c r="M124" s="234">
        <v>52092.15434925865</v>
      </c>
      <c r="N124" s="234">
        <v>54541.707707001646</v>
      </c>
    </row>
    <row r="125" spans="2:3" ht="13.5">
      <c r="B125" s="234"/>
      <c r="C125" s="234"/>
    </row>
    <row r="126" spans="2:3" ht="13.5">
      <c r="B126" s="234"/>
      <c r="C126" s="234"/>
    </row>
    <row r="127" spans="1:14" ht="13.5">
      <c r="A127" t="s">
        <v>249</v>
      </c>
      <c r="B127" s="240"/>
      <c r="C127" s="240"/>
      <c r="D127" s="241"/>
      <c r="E127" s="241"/>
      <c r="F127" s="241"/>
      <c r="G127" s="241"/>
      <c r="I127" s="241"/>
      <c r="J127" s="241"/>
      <c r="K127" s="241"/>
      <c r="L127" s="241"/>
      <c r="M127" s="241"/>
      <c r="N127" s="241"/>
    </row>
    <row r="128" spans="1:14" ht="13.5">
      <c r="A128" s="218" t="s">
        <v>250</v>
      </c>
      <c r="B128" s="240"/>
      <c r="C128" s="240"/>
      <c r="D128" s="241"/>
      <c r="E128" s="241"/>
      <c r="F128" s="241"/>
      <c r="G128" s="241"/>
      <c r="I128" s="241"/>
      <c r="J128" s="241"/>
      <c r="K128" s="241"/>
      <c r="L128" s="241">
        <v>0</v>
      </c>
      <c r="M128" s="241">
        <v>0</v>
      </c>
      <c r="N128" s="241">
        <v>0</v>
      </c>
    </row>
    <row r="129" spans="1:14" ht="13.5">
      <c r="A129" t="s">
        <v>111</v>
      </c>
      <c r="B129" s="240">
        <v>94385</v>
      </c>
      <c r="C129" s="240">
        <v>43094.399999999994</v>
      </c>
      <c r="D129" s="240">
        <v>43094.399999999994</v>
      </c>
      <c r="E129" s="240">
        <v>43094.399999999994</v>
      </c>
      <c r="F129" s="240">
        <v>43094.399999999994</v>
      </c>
      <c r="G129" s="240">
        <v>43094.399999999994</v>
      </c>
      <c r="I129" s="241">
        <v>94385</v>
      </c>
      <c r="J129" s="240">
        <v>43094.399999999994</v>
      </c>
      <c r="K129" s="240">
        <v>44869.29291598023</v>
      </c>
      <c r="L129" s="240">
        <v>46644.18583196046</v>
      </c>
      <c r="M129" s="240">
        <v>48419.078747940686</v>
      </c>
      <c r="N129" s="240">
        <v>50193.97166392092</v>
      </c>
    </row>
    <row r="130" spans="1:14" ht="13.5">
      <c r="A130" t="s">
        <v>251</v>
      </c>
      <c r="B130" s="240">
        <v>250000</v>
      </c>
      <c r="C130" s="240">
        <v>250000</v>
      </c>
      <c r="D130" s="240">
        <v>250000</v>
      </c>
      <c r="E130" s="240">
        <v>250000</v>
      </c>
      <c r="F130" s="240">
        <v>250000</v>
      </c>
      <c r="G130" s="240">
        <v>250000</v>
      </c>
      <c r="I130" s="241">
        <v>250000</v>
      </c>
      <c r="J130" s="241">
        <v>250000</v>
      </c>
      <c r="K130" s="241">
        <v>250000</v>
      </c>
      <c r="L130" s="241">
        <v>250000</v>
      </c>
      <c r="M130" s="241">
        <v>250000</v>
      </c>
      <c r="N130" s="241">
        <v>250000</v>
      </c>
    </row>
    <row r="131" spans="2:10" ht="13.5">
      <c r="B131">
        <v>0</v>
      </c>
      <c r="C131" t="s">
        <v>49</v>
      </c>
      <c r="I131" s="242">
        <v>0</v>
      </c>
      <c r="J131" t="s">
        <v>49</v>
      </c>
    </row>
    <row r="132" spans="1:10" ht="13.5">
      <c r="A132" t="s">
        <v>252</v>
      </c>
      <c r="B132" s="242">
        <v>0.01</v>
      </c>
      <c r="C132" t="s">
        <v>260</v>
      </c>
      <c r="I132" s="242">
        <v>0.01</v>
      </c>
      <c r="J132" t="s">
        <v>260</v>
      </c>
    </row>
    <row r="134" spans="2:9" ht="13.5">
      <c r="B134" s="243">
        <v>62949</v>
      </c>
      <c r="I134" s="243">
        <v>147541</v>
      </c>
    </row>
    <row r="135" spans="2:9" ht="13.5">
      <c r="B135" t="s">
        <v>262</v>
      </c>
      <c r="I135" t="s">
        <v>262</v>
      </c>
    </row>
    <row r="136" spans="2:12" ht="13.5">
      <c r="B136" t="s">
        <v>213</v>
      </c>
      <c r="E136" s="243">
        <v>5000</v>
      </c>
      <c r="I136" t="s">
        <v>213</v>
      </c>
      <c r="L136" s="243">
        <v>18763.629851552643</v>
      </c>
    </row>
    <row r="137" spans="5:12" ht="13.5">
      <c r="E137" s="243"/>
      <c r="I137" t="s">
        <v>214</v>
      </c>
      <c r="L137" s="243">
        <v>9744.756327863099</v>
      </c>
    </row>
    <row r="138" spans="2:12" ht="13.5">
      <c r="B138" t="s">
        <v>215</v>
      </c>
      <c r="E138" s="243">
        <v>2500</v>
      </c>
      <c r="I138" t="s">
        <v>215</v>
      </c>
      <c r="L138" s="243">
        <v>3032.4221810662107</v>
      </c>
    </row>
    <row r="139" spans="5:12" ht="13.5">
      <c r="E139" s="224"/>
      <c r="I139" t="s">
        <v>16</v>
      </c>
      <c r="L139" s="224">
        <v>23515.69295774648</v>
      </c>
    </row>
    <row r="140" spans="2:12" ht="13.5">
      <c r="B140" t="s">
        <v>16</v>
      </c>
      <c r="E140" s="224">
        <v>25748.873239436616</v>
      </c>
      <c r="I140" t="s">
        <v>102</v>
      </c>
      <c r="L140" s="243">
        <v>26400</v>
      </c>
    </row>
    <row r="141" spans="5:12" ht="13.5">
      <c r="E141" s="243"/>
      <c r="I141" t="s">
        <v>263</v>
      </c>
      <c r="L141" s="243">
        <v>9033.928774305876</v>
      </c>
    </row>
    <row r="142" spans="2:12" ht="13.5">
      <c r="B142" t="s">
        <v>263</v>
      </c>
      <c r="E142" s="243">
        <v>7447.782857142857</v>
      </c>
      <c r="L142" s="243"/>
    </row>
    <row r="143" spans="5:12" ht="13.5">
      <c r="E143" s="243"/>
      <c r="L143" s="243">
        <v>90490.43009253431</v>
      </c>
    </row>
    <row r="144" spans="5:12" ht="13.5">
      <c r="E144" s="243">
        <v>40696.65609657947</v>
      </c>
      <c r="I144" t="s">
        <v>264</v>
      </c>
      <c r="L144" s="243">
        <v>57050.56990746569</v>
      </c>
    </row>
    <row r="145" spans="2:5" ht="13.5">
      <c r="B145" t="s">
        <v>264</v>
      </c>
      <c r="E145" s="243">
        <v>22252.34390342053</v>
      </c>
    </row>
  </sheetData>
  <sheetProtection/>
  <printOp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dimension ref="A1:G111"/>
  <sheetViews>
    <sheetView workbookViewId="0" topLeftCell="A92">
      <selection activeCell="F104" sqref="F104"/>
    </sheetView>
  </sheetViews>
  <sheetFormatPr defaultColWidth="9.140625" defaultRowHeight="15"/>
  <cols>
    <col min="1" max="1" width="22.140625" style="0" customWidth="1"/>
    <col min="2" max="7" width="15.421875" style="0" customWidth="1"/>
  </cols>
  <sheetData>
    <row r="1" spans="1:7" ht="13.5">
      <c r="A1" s="193" t="s">
        <v>171</v>
      </c>
      <c r="B1" s="194"/>
      <c r="C1" s="194"/>
      <c r="D1" s="194"/>
      <c r="E1" s="194"/>
      <c r="F1" s="194"/>
      <c r="G1" s="194"/>
    </row>
    <row r="2" spans="1:7" ht="13.5">
      <c r="A2" s="195" t="s">
        <v>172</v>
      </c>
      <c r="B2" s="195">
        <v>1273</v>
      </c>
      <c r="C2" s="195">
        <v>1273</v>
      </c>
      <c r="D2" s="195">
        <v>1298</v>
      </c>
      <c r="E2" s="195">
        <v>1323</v>
      </c>
      <c r="F2" s="195">
        <v>1348</v>
      </c>
      <c r="G2" s="195">
        <v>1373</v>
      </c>
    </row>
    <row r="3" spans="1:7" ht="13.5">
      <c r="A3" s="196"/>
      <c r="B3" s="196"/>
      <c r="C3" s="196"/>
      <c r="D3" s="196"/>
      <c r="E3" s="196"/>
      <c r="F3" s="196"/>
      <c r="G3" s="196"/>
    </row>
    <row r="4" spans="1:7" ht="13.5">
      <c r="A4" s="197" t="s">
        <v>173</v>
      </c>
      <c r="B4" s="197">
        <v>2016</v>
      </c>
      <c r="C4" s="197">
        <v>2017</v>
      </c>
      <c r="D4" s="197">
        <v>2018</v>
      </c>
      <c r="E4" s="197">
        <v>2019</v>
      </c>
      <c r="F4" s="197">
        <v>2020</v>
      </c>
      <c r="G4" s="197">
        <v>2021</v>
      </c>
    </row>
    <row r="5" spans="1:7" ht="13.5">
      <c r="A5" s="197" t="s">
        <v>174</v>
      </c>
      <c r="B5" s="198"/>
      <c r="C5" s="198"/>
      <c r="D5" s="198"/>
      <c r="E5" s="198"/>
      <c r="F5" s="198"/>
      <c r="G5" s="198"/>
    </row>
    <row r="6" spans="1:7" ht="13.5">
      <c r="A6" s="199" t="s">
        <v>175</v>
      </c>
      <c r="B6" s="253">
        <v>8618880</v>
      </c>
      <c r="C6" s="253">
        <v>8618880</v>
      </c>
      <c r="D6" s="253">
        <v>8796369.291598022</v>
      </c>
      <c r="E6" s="253">
        <v>8973858.583196046</v>
      </c>
      <c r="F6" s="253">
        <v>9151347.87479407</v>
      </c>
      <c r="G6" s="253">
        <v>9328837.166392092</v>
      </c>
    </row>
    <row r="7" spans="1:7" ht="13.5">
      <c r="A7" s="199" t="s">
        <v>176</v>
      </c>
      <c r="B7" s="253">
        <v>688000</v>
      </c>
      <c r="C7" s="253">
        <v>688000</v>
      </c>
      <c r="D7" s="253">
        <v>699449.7528830313</v>
      </c>
      <c r="E7" s="253">
        <v>710899.5057660625</v>
      </c>
      <c r="F7" s="253">
        <v>722349.2586490939</v>
      </c>
      <c r="G7" s="253">
        <v>733799.0115321252</v>
      </c>
    </row>
    <row r="8" spans="1:7" ht="13.5">
      <c r="A8" s="199" t="s">
        <v>177</v>
      </c>
      <c r="B8" s="253">
        <v>307863</v>
      </c>
      <c r="C8" s="253">
        <v>307863</v>
      </c>
      <c r="D8" s="253">
        <v>312652.53871499177</v>
      </c>
      <c r="E8" s="253">
        <v>317442.07742998353</v>
      </c>
      <c r="F8" s="253">
        <v>322231.6161449753</v>
      </c>
      <c r="G8" s="253">
        <v>327021.15485996706</v>
      </c>
    </row>
    <row r="9" spans="1:7" ht="13.5">
      <c r="A9" s="199" t="s">
        <v>178</v>
      </c>
      <c r="B9" s="253">
        <v>1614321</v>
      </c>
      <c r="C9" s="253">
        <v>1614321</v>
      </c>
      <c r="D9" s="253">
        <v>1648164.410214168</v>
      </c>
      <c r="E9" s="253">
        <v>1682007.820428336</v>
      </c>
      <c r="F9" s="253">
        <v>1715851.230642504</v>
      </c>
      <c r="G9" s="253">
        <v>1749694.640856672</v>
      </c>
    </row>
    <row r="10" spans="1:7" ht="13.5">
      <c r="A10" s="199" t="s">
        <v>179</v>
      </c>
      <c r="B10" s="253">
        <v>388672</v>
      </c>
      <c r="C10" s="253">
        <v>388672</v>
      </c>
      <c r="D10" s="253">
        <v>397570.1466227347</v>
      </c>
      <c r="E10" s="253">
        <v>406468.2932454695</v>
      </c>
      <c r="F10" s="253">
        <v>415366.4398682043</v>
      </c>
      <c r="G10" s="253">
        <v>424264.586490939</v>
      </c>
    </row>
    <row r="11" spans="1:7" ht="27.75">
      <c r="A11" s="200" t="s">
        <v>180</v>
      </c>
      <c r="B11" s="253">
        <v>253702</v>
      </c>
      <c r="C11" s="253">
        <v>253702</v>
      </c>
      <c r="D11" s="253">
        <v>253702</v>
      </c>
      <c r="E11" s="253">
        <v>253702</v>
      </c>
      <c r="F11" s="253">
        <v>253702</v>
      </c>
      <c r="G11" s="253">
        <v>253702</v>
      </c>
    </row>
    <row r="12" spans="1:7" ht="27.75">
      <c r="A12" s="199" t="s">
        <v>181</v>
      </c>
      <c r="B12" s="253">
        <v>64966</v>
      </c>
      <c r="C12" s="253">
        <v>64966</v>
      </c>
      <c r="D12" s="253">
        <v>64966</v>
      </c>
      <c r="E12" s="253">
        <v>64966</v>
      </c>
      <c r="F12" s="253">
        <v>64966</v>
      </c>
      <c r="G12" s="253">
        <v>64966</v>
      </c>
    </row>
    <row r="13" spans="1:7" ht="13.5">
      <c r="A13" s="252" t="s">
        <v>267</v>
      </c>
      <c r="B13" s="253">
        <v>633000</v>
      </c>
      <c r="C13" s="253">
        <v>633000</v>
      </c>
      <c r="D13" s="253">
        <v>646035.4200988468</v>
      </c>
      <c r="E13" s="253">
        <v>659070.8401976936</v>
      </c>
      <c r="F13" s="253">
        <v>672106.2602965403</v>
      </c>
      <c r="G13" s="253">
        <v>685141.6803953871</v>
      </c>
    </row>
    <row r="14" spans="1:7" ht="13.5">
      <c r="A14" s="201" t="s">
        <v>182</v>
      </c>
      <c r="B14" s="202">
        <f aca="true" t="shared" si="0" ref="B14:G14">SUM(B6:B13)</f>
        <v>12569404</v>
      </c>
      <c r="C14" s="202">
        <f t="shared" si="0"/>
        <v>12569404</v>
      </c>
      <c r="D14" s="202">
        <f t="shared" si="0"/>
        <v>12818909.560131796</v>
      </c>
      <c r="E14" s="202">
        <f t="shared" si="0"/>
        <v>13068415.120263591</v>
      </c>
      <c r="F14" s="202">
        <f t="shared" si="0"/>
        <v>13317920.680395389</v>
      </c>
      <c r="G14" s="202">
        <f t="shared" si="0"/>
        <v>13567426.240527183</v>
      </c>
    </row>
    <row r="15" spans="1:7" ht="13.5">
      <c r="A15" s="199"/>
      <c r="B15" s="198"/>
      <c r="C15" s="198"/>
      <c r="D15" s="198"/>
      <c r="E15" s="198"/>
      <c r="F15" s="198"/>
      <c r="G15" s="198"/>
    </row>
    <row r="16" spans="1:7" ht="13.5">
      <c r="A16" s="196" t="s">
        <v>183</v>
      </c>
      <c r="B16" s="198">
        <v>2202956.400042451</v>
      </c>
      <c r="C16" s="198">
        <v>2157932.0454137707</v>
      </c>
      <c r="D16" s="198">
        <v>2222461.0188189493</v>
      </c>
      <c r="E16" s="198">
        <v>2288064.7784876907</v>
      </c>
      <c r="F16" s="198">
        <v>2354758.367247924</v>
      </c>
      <c r="G16" s="198">
        <v>2422557.0213055145</v>
      </c>
    </row>
    <row r="17" spans="1:7" ht="13.5">
      <c r="A17" s="196" t="s">
        <v>184</v>
      </c>
      <c r="B17" s="198">
        <v>408966.0288888889</v>
      </c>
      <c r="C17" s="198">
        <v>453230.39992297214</v>
      </c>
      <c r="D17" s="198">
        <v>468039.4214361267</v>
      </c>
      <c r="E17" s="198">
        <v>477533.6225955044</v>
      </c>
      <c r="F17" s="198">
        <v>487170.9038359261</v>
      </c>
      <c r="G17" s="198">
        <v>496953.17733889667</v>
      </c>
    </row>
    <row r="18" spans="1:7" ht="16.5" customHeight="1">
      <c r="A18" s="196" t="s">
        <v>185</v>
      </c>
      <c r="B18" s="198">
        <v>333160</v>
      </c>
      <c r="C18" s="198">
        <v>332971.7617391304</v>
      </c>
      <c r="D18" s="198">
        <v>343305.60979130433</v>
      </c>
      <c r="E18" s="198">
        <v>353812.8376283478</v>
      </c>
      <c r="F18" s="198">
        <v>364495.8794611531</v>
      </c>
      <c r="G18" s="198">
        <v>375357.20084685157</v>
      </c>
    </row>
    <row r="19" spans="1:7" ht="16.5" customHeight="1">
      <c r="A19" s="196" t="s">
        <v>186</v>
      </c>
      <c r="B19" s="198">
        <v>840136.7020833334</v>
      </c>
      <c r="C19" s="198">
        <v>840136.7020833334</v>
      </c>
      <c r="D19" s="198">
        <v>848538.0691041667</v>
      </c>
      <c r="E19" s="198">
        <v>857023.4497952084</v>
      </c>
      <c r="F19" s="198">
        <v>865593.6842931604</v>
      </c>
      <c r="G19" s="198">
        <v>874249.6211360921</v>
      </c>
    </row>
    <row r="20" spans="1:7" ht="16.5" customHeight="1">
      <c r="A20" s="196" t="s">
        <v>187</v>
      </c>
      <c r="B20" s="198">
        <v>0</v>
      </c>
      <c r="C20" s="198">
        <v>0</v>
      </c>
      <c r="D20" s="198">
        <v>0</v>
      </c>
      <c r="E20" s="198">
        <v>0</v>
      </c>
      <c r="F20" s="198">
        <v>0</v>
      </c>
      <c r="G20" s="198">
        <v>0</v>
      </c>
    </row>
    <row r="21" spans="1:7" ht="16.5" customHeight="1">
      <c r="A21" s="196" t="s">
        <v>188</v>
      </c>
      <c r="B21" s="198">
        <v>83553</v>
      </c>
      <c r="C21" s="198">
        <v>83553</v>
      </c>
      <c r="D21" s="198">
        <v>84388.53</v>
      </c>
      <c r="E21" s="198">
        <v>85232.41530000001</v>
      </c>
      <c r="F21" s="198">
        <v>86084.739453</v>
      </c>
      <c r="G21" s="198">
        <v>86945.58684753</v>
      </c>
    </row>
    <row r="22" spans="1:7" ht="16.5" customHeight="1">
      <c r="A22" s="196" t="s">
        <v>229</v>
      </c>
      <c r="B22" s="198">
        <v>210000</v>
      </c>
      <c r="C22" s="198">
        <v>210000</v>
      </c>
      <c r="D22" s="198">
        <v>205938.10883815386</v>
      </c>
      <c r="E22" s="198">
        <v>207997.4899265354</v>
      </c>
      <c r="F22" s="198">
        <v>210077.46482580074</v>
      </c>
      <c r="G22" s="198">
        <v>212178.23947405873</v>
      </c>
    </row>
    <row r="23" spans="1:7" ht="16.5" customHeight="1">
      <c r="A23" s="196" t="s">
        <v>230</v>
      </c>
      <c r="B23" s="198">
        <v>0</v>
      </c>
      <c r="C23" s="198">
        <v>0</v>
      </c>
      <c r="D23" s="198">
        <v>0</v>
      </c>
      <c r="E23" s="198">
        <v>0</v>
      </c>
      <c r="F23" s="198">
        <v>0</v>
      </c>
      <c r="G23" s="198">
        <v>0</v>
      </c>
    </row>
    <row r="24" spans="1:7" ht="16.5" customHeight="1">
      <c r="A24" s="196" t="s">
        <v>189</v>
      </c>
      <c r="B24" s="198">
        <v>232160.136</v>
      </c>
      <c r="C24" s="198">
        <v>232160.136</v>
      </c>
      <c r="D24" s="198">
        <v>234481.73736000003</v>
      </c>
      <c r="E24" s="198">
        <v>236826.55473360003</v>
      </c>
      <c r="F24" s="198">
        <v>239194.82028093602</v>
      </c>
      <c r="G24" s="198">
        <v>241586.7684837454</v>
      </c>
    </row>
    <row r="25" spans="1:7" ht="16.5" customHeight="1">
      <c r="A25" t="s">
        <v>231</v>
      </c>
      <c r="B25">
        <v>0</v>
      </c>
      <c r="C25">
        <v>0</v>
      </c>
      <c r="D25">
        <v>0</v>
      </c>
      <c r="E25">
        <v>0</v>
      </c>
      <c r="F25">
        <v>0</v>
      </c>
      <c r="G25">
        <v>0</v>
      </c>
    </row>
    <row r="26" spans="1:7" ht="16.5" customHeight="1">
      <c r="A26" s="196" t="s">
        <v>190</v>
      </c>
      <c r="B26" s="198">
        <v>183000</v>
      </c>
      <c r="C26" s="198">
        <v>183000</v>
      </c>
      <c r="D26" s="198">
        <v>184830</v>
      </c>
      <c r="E26" s="198">
        <v>186678.3</v>
      </c>
      <c r="F26" s="198">
        <v>188545.083</v>
      </c>
      <c r="G26" s="198">
        <v>190430.53383000003</v>
      </c>
    </row>
    <row r="27" spans="1:7" ht="13.5">
      <c r="A27" s="196" t="s">
        <v>191</v>
      </c>
      <c r="B27" s="198">
        <v>219620</v>
      </c>
      <c r="C27" s="198">
        <v>219620</v>
      </c>
      <c r="D27" s="198">
        <v>221816.2</v>
      </c>
      <c r="E27" s="198">
        <v>224034.362</v>
      </c>
      <c r="F27" s="198">
        <v>226274.70562000002</v>
      </c>
      <c r="G27" s="198">
        <v>228537.45267620002</v>
      </c>
    </row>
    <row r="28" spans="1:7" ht="13.5">
      <c r="A28" t="s">
        <v>232</v>
      </c>
      <c r="B28">
        <v>0</v>
      </c>
      <c r="C28">
        <v>0</v>
      </c>
      <c r="D28">
        <v>0</v>
      </c>
      <c r="E28">
        <v>0</v>
      </c>
      <c r="F28">
        <v>0</v>
      </c>
      <c r="G28">
        <v>0</v>
      </c>
    </row>
    <row r="29" spans="1:7" ht="13.5">
      <c r="A29" s="196" t="s">
        <v>25</v>
      </c>
      <c r="B29" s="198">
        <v>352864</v>
      </c>
      <c r="C29" s="198">
        <v>352864</v>
      </c>
      <c r="D29" s="198">
        <v>356392.64</v>
      </c>
      <c r="E29" s="198">
        <v>359956.5664</v>
      </c>
      <c r="F29" s="198">
        <v>363556.132064</v>
      </c>
      <c r="G29" s="198">
        <v>367191.69338464004</v>
      </c>
    </row>
    <row r="30" spans="1:7" ht="13.5">
      <c r="A30" s="196" t="s">
        <v>192</v>
      </c>
      <c r="B30" s="198">
        <v>208689.88</v>
      </c>
      <c r="C30" s="198">
        <v>208689.88</v>
      </c>
      <c r="D30" s="198">
        <v>210776.77879999997</v>
      </c>
      <c r="E30" s="198">
        <v>212884.546588</v>
      </c>
      <c r="F30" s="198">
        <v>215013.39205387997</v>
      </c>
      <c r="G30" s="198">
        <v>217163.5259744188</v>
      </c>
    </row>
    <row r="31" spans="1:7" ht="13.5">
      <c r="A31" s="196" t="s">
        <v>193</v>
      </c>
      <c r="B31" s="198">
        <v>222622.11</v>
      </c>
      <c r="C31" s="198">
        <v>222622.11</v>
      </c>
      <c r="D31" s="198">
        <v>224848.3311</v>
      </c>
      <c r="E31" s="198">
        <v>227096.814411</v>
      </c>
      <c r="F31" s="198">
        <v>229367.78255511</v>
      </c>
      <c r="G31" s="198">
        <v>231661.4603806611</v>
      </c>
    </row>
    <row r="32" spans="1:7" ht="13.5">
      <c r="A32" s="276" t="s">
        <v>270</v>
      </c>
      <c r="B32" s="198">
        <v>115131.73000000001</v>
      </c>
      <c r="C32" s="198">
        <v>115131.73000000001</v>
      </c>
      <c r="D32" s="198">
        <v>116283.0473</v>
      </c>
      <c r="E32" s="198">
        <v>117445.87777300001</v>
      </c>
      <c r="F32" s="198">
        <v>118620.33655073002</v>
      </c>
      <c r="G32" s="198">
        <v>119806.53991623732</v>
      </c>
    </row>
    <row r="33" spans="1:7" ht="13.5">
      <c r="A33" s="196" t="s">
        <v>195</v>
      </c>
      <c r="B33" s="198">
        <v>49250</v>
      </c>
      <c r="C33" s="198">
        <v>49250</v>
      </c>
      <c r="D33" s="198">
        <v>49742.5</v>
      </c>
      <c r="E33" s="198">
        <v>50239.925</v>
      </c>
      <c r="F33" s="198">
        <v>50742.324250000005</v>
      </c>
      <c r="G33" s="198">
        <v>51249.747492500006</v>
      </c>
    </row>
    <row r="34" spans="1:7" ht="13.5">
      <c r="A34" s="196" t="s">
        <v>196</v>
      </c>
      <c r="B34" s="198">
        <v>144766.36</v>
      </c>
      <c r="C34" s="198">
        <v>144766.36</v>
      </c>
      <c r="D34" s="198">
        <v>146214.0236</v>
      </c>
      <c r="E34" s="198">
        <v>147676.163836</v>
      </c>
      <c r="F34" s="198">
        <v>149152.92547436</v>
      </c>
      <c r="G34" s="198">
        <v>150644.4547291036</v>
      </c>
    </row>
    <row r="35" spans="1:7" ht="13.5">
      <c r="A35" t="s">
        <v>234</v>
      </c>
      <c r="B35">
        <v>0</v>
      </c>
      <c r="C35">
        <v>0</v>
      </c>
      <c r="D35">
        <v>0</v>
      </c>
      <c r="E35">
        <v>0</v>
      </c>
      <c r="F35">
        <v>0</v>
      </c>
      <c r="G35">
        <v>0</v>
      </c>
    </row>
    <row r="36" spans="1:7" ht="13.5">
      <c r="A36" s="197" t="s">
        <v>197</v>
      </c>
      <c r="B36" s="203">
        <f aca="true" t="shared" si="1" ref="B36:G36">SUM(B16:B35)</f>
        <v>5806876.347014674</v>
      </c>
      <c r="C36" s="203">
        <f t="shared" si="1"/>
        <v>5805928.125159208</v>
      </c>
      <c r="D36" s="203">
        <f t="shared" si="1"/>
        <v>5918056.0161487</v>
      </c>
      <c r="E36" s="203">
        <f t="shared" si="1"/>
        <v>6032503.704474886</v>
      </c>
      <c r="F36" s="203">
        <f t="shared" si="1"/>
        <v>6148648.540965979</v>
      </c>
      <c r="G36" s="203">
        <f t="shared" si="1"/>
        <v>6266513.02381645</v>
      </c>
    </row>
    <row r="37" spans="1:7" ht="13.5">
      <c r="A37" s="197"/>
      <c r="B37" s="277"/>
      <c r="C37" s="204"/>
      <c r="D37" s="203"/>
      <c r="E37" s="203"/>
      <c r="F37" s="203"/>
      <c r="G37" s="203"/>
    </row>
    <row r="38" spans="1:7" ht="13.5">
      <c r="A38" s="196" t="s">
        <v>198</v>
      </c>
      <c r="B38" s="198">
        <v>1625925.3771641087</v>
      </c>
      <c r="C38" s="198">
        <v>1625659.8750445778</v>
      </c>
      <c r="D38" s="198">
        <v>1657055.6845216367</v>
      </c>
      <c r="E38" s="198">
        <v>1689101.0372529686</v>
      </c>
      <c r="F38" s="198">
        <v>1721621.5914704748</v>
      </c>
      <c r="G38" s="198">
        <v>1754623.646668606</v>
      </c>
    </row>
    <row r="39" spans="1:7" ht="13.5">
      <c r="A39" s="196" t="s">
        <v>199</v>
      </c>
      <c r="B39" s="198">
        <v>176087.5304642545</v>
      </c>
      <c r="C39" s="198">
        <v>176087.5304642545</v>
      </c>
      <c r="D39" s="198">
        <v>185173.29892247598</v>
      </c>
      <c r="E39" s="198">
        <v>194423.1739968155</v>
      </c>
      <c r="F39" s="198">
        <v>203839.52924274953</v>
      </c>
      <c r="G39" s="198">
        <v>213424.76927620257</v>
      </c>
    </row>
    <row r="40" spans="1:7" ht="13.5">
      <c r="A40" s="196" t="s">
        <v>74</v>
      </c>
      <c r="B40" s="198">
        <v>58289</v>
      </c>
      <c r="C40" s="198">
        <v>58355.28</v>
      </c>
      <c r="D40" s="198">
        <v>60244.9691261944</v>
      </c>
      <c r="E40" s="198">
        <v>62166.61650691269</v>
      </c>
      <c r="F40" s="198">
        <v>64120.67233833272</v>
      </c>
      <c r="G40" s="198">
        <v>66107.59262473046</v>
      </c>
    </row>
    <row r="41" spans="1:7" ht="13.5">
      <c r="A41" s="196"/>
      <c r="B41" s="198"/>
      <c r="C41" s="198"/>
      <c r="D41" s="205"/>
      <c r="E41" s="198"/>
      <c r="F41" s="198"/>
      <c r="G41" s="198"/>
    </row>
    <row r="42" spans="1:7" ht="13.5">
      <c r="A42" s="197" t="s">
        <v>200</v>
      </c>
      <c r="B42" s="203">
        <f aca="true" t="shared" si="2" ref="B42:G42">B36+B38+B39+B40</f>
        <v>7667178.254643037</v>
      </c>
      <c r="C42" s="203">
        <f t="shared" si="2"/>
        <v>7666030.81066804</v>
      </c>
      <c r="D42" s="203">
        <f t="shared" si="2"/>
        <v>7820529.968719008</v>
      </c>
      <c r="E42" s="203">
        <f t="shared" si="2"/>
        <v>7978194.532231583</v>
      </c>
      <c r="F42" s="203">
        <f t="shared" si="2"/>
        <v>8138230.334017537</v>
      </c>
      <c r="G42" s="203">
        <f t="shared" si="2"/>
        <v>8300669.032385988</v>
      </c>
    </row>
    <row r="43" spans="1:7" ht="13.5">
      <c r="A43" s="255"/>
      <c r="B43" s="258"/>
      <c r="C43" s="259"/>
      <c r="D43" s="255"/>
      <c r="E43" s="255"/>
      <c r="F43" s="255"/>
      <c r="G43" s="255"/>
    </row>
    <row r="44" spans="1:7" ht="13.5">
      <c r="A44" s="255" t="s">
        <v>6</v>
      </c>
      <c r="B44" s="253">
        <v>44000</v>
      </c>
      <c r="C44" s="253">
        <v>44000</v>
      </c>
      <c r="D44" s="253">
        <v>45583.945634266885</v>
      </c>
      <c r="E44" s="253">
        <v>47195.17018121912</v>
      </c>
      <c r="F44" s="253">
        <v>48834.06082454695</v>
      </c>
      <c r="G44" s="253">
        <v>50501.009763723225</v>
      </c>
    </row>
    <row r="45" spans="1:7" ht="13.5">
      <c r="A45" s="255" t="s">
        <v>7</v>
      </c>
      <c r="B45" s="253">
        <v>3000</v>
      </c>
      <c r="C45" s="253">
        <v>3000</v>
      </c>
      <c r="D45" s="253">
        <v>3092.3970345963758</v>
      </c>
      <c r="E45" s="253">
        <v>3186.342009884679</v>
      </c>
      <c r="F45" s="253">
        <v>3281.856644975288</v>
      </c>
      <c r="G45" s="253">
        <v>3378.9629385667213</v>
      </c>
    </row>
    <row r="46" spans="1:7" ht="13.5">
      <c r="A46" s="255" t="s">
        <v>8</v>
      </c>
      <c r="B46" s="253">
        <v>0</v>
      </c>
      <c r="C46" s="253">
        <v>0</v>
      </c>
      <c r="D46" s="253">
        <v>0</v>
      </c>
      <c r="E46" s="253">
        <v>0</v>
      </c>
      <c r="F46" s="253">
        <v>0</v>
      </c>
      <c r="G46" s="253">
        <v>0</v>
      </c>
    </row>
    <row r="47" spans="1:7" ht="13.5">
      <c r="A47" s="255" t="s">
        <v>9</v>
      </c>
      <c r="B47" s="253">
        <v>4500</v>
      </c>
      <c r="C47" s="253">
        <v>16481.711631448732</v>
      </c>
      <c r="D47" s="253">
        <v>17022.322325277593</v>
      </c>
      <c r="E47" s="253">
        <v>17572.09706181988</v>
      </c>
      <c r="F47" s="253">
        <v>18131.16506086049</v>
      </c>
      <c r="G47" s="253">
        <v>18699.657210175727</v>
      </c>
    </row>
    <row r="48" spans="1:7" ht="13.5">
      <c r="A48" s="255" t="s">
        <v>10</v>
      </c>
      <c r="B48" s="253">
        <v>0</v>
      </c>
      <c r="C48" s="253">
        <v>0</v>
      </c>
      <c r="D48" s="253">
        <v>0</v>
      </c>
      <c r="E48" s="253">
        <v>0</v>
      </c>
      <c r="F48" s="253">
        <v>0</v>
      </c>
      <c r="G48" s="253">
        <v>0</v>
      </c>
    </row>
    <row r="49" spans="1:7" ht="13.5">
      <c r="A49" s="255" t="s">
        <v>11</v>
      </c>
      <c r="B49" s="253">
        <v>0</v>
      </c>
      <c r="C49" s="253">
        <v>35000</v>
      </c>
      <c r="D49" s="253">
        <v>72000</v>
      </c>
      <c r="E49" s="253">
        <v>73798.71835443038</v>
      </c>
      <c r="F49" s="253">
        <v>75626.21107594937</v>
      </c>
      <c r="G49" s="253">
        <v>77482.8737800633</v>
      </c>
    </row>
    <row r="50" spans="1:7" ht="13.5">
      <c r="A50" s="255" t="s">
        <v>44</v>
      </c>
      <c r="B50" s="253">
        <v>107947</v>
      </c>
      <c r="C50" s="253">
        <v>107947</v>
      </c>
      <c r="D50" s="253">
        <v>111292.52230642505</v>
      </c>
      <c r="E50" s="253">
        <v>114694.16035897858</v>
      </c>
      <c r="F50" s="253">
        <v>118152.70192035256</v>
      </c>
      <c r="G50" s="253">
        <v>121668.94489691812</v>
      </c>
    </row>
    <row r="51" spans="1:7" ht="13.5">
      <c r="A51" s="255" t="s">
        <v>12</v>
      </c>
      <c r="B51" s="253">
        <v>10000</v>
      </c>
      <c r="C51" s="253">
        <v>20000</v>
      </c>
      <c r="D51" s="253">
        <v>25515.980230642504</v>
      </c>
      <c r="E51" s="253">
        <v>26191.28006589786</v>
      </c>
      <c r="F51" s="253">
        <v>26877.534299835253</v>
      </c>
      <c r="G51" s="253">
        <v>27574.894490444807</v>
      </c>
    </row>
    <row r="52" spans="1:7" ht="13.5">
      <c r="A52" s="255" t="s">
        <v>66</v>
      </c>
      <c r="B52" s="253">
        <v>111000</v>
      </c>
      <c r="C52" s="253">
        <v>111000</v>
      </c>
      <c r="D52" s="253">
        <v>115344.24629324547</v>
      </c>
      <c r="E52" s="253">
        <v>119764.27751235582</v>
      </c>
      <c r="F52" s="253">
        <v>124261.17493121908</v>
      </c>
      <c r="G52" s="253">
        <v>128836.03387070837</v>
      </c>
    </row>
    <row r="53" spans="1:7" ht="13.5">
      <c r="A53" s="256" t="s">
        <v>79</v>
      </c>
      <c r="B53" s="257">
        <v>280447</v>
      </c>
      <c r="C53" s="257">
        <v>337428.7116314487</v>
      </c>
      <c r="D53" s="257">
        <v>389851.41382445383</v>
      </c>
      <c r="E53" s="257">
        <v>402402.0455445863</v>
      </c>
      <c r="F53" s="257">
        <v>415164.70475773903</v>
      </c>
      <c r="G53" s="257">
        <v>428142.37695060024</v>
      </c>
    </row>
    <row r="54" spans="1:7" ht="13.5">
      <c r="A54" s="255"/>
      <c r="B54" s="253"/>
      <c r="C54" s="253"/>
      <c r="D54" s="253"/>
      <c r="E54" s="253"/>
      <c r="F54" s="253"/>
      <c r="G54" s="253"/>
    </row>
    <row r="55" spans="1:7" ht="13.5">
      <c r="A55" s="255" t="s">
        <v>19</v>
      </c>
      <c r="B55" s="253">
        <v>11000</v>
      </c>
      <c r="C55" s="253">
        <v>11000</v>
      </c>
      <c r="D55" s="253">
        <v>18495.578253706757</v>
      </c>
      <c r="E55" s="253">
        <v>19142.688072487646</v>
      </c>
      <c r="F55" s="253">
        <v>19800.890529818782</v>
      </c>
      <c r="G55" s="253">
        <v>20470.342767489292</v>
      </c>
    </row>
    <row r="56" spans="1:7" ht="13.5">
      <c r="A56" s="255" t="s">
        <v>20</v>
      </c>
      <c r="B56" s="253">
        <v>2500</v>
      </c>
      <c r="C56" s="253">
        <v>2500</v>
      </c>
      <c r="D56" s="253">
        <v>6345.995057660626</v>
      </c>
      <c r="E56" s="253">
        <v>6514.490016474465</v>
      </c>
      <c r="F56" s="253">
        <v>6685.720274958814</v>
      </c>
      <c r="G56" s="253">
        <v>6859.723689611202</v>
      </c>
    </row>
    <row r="57" spans="1:7" ht="13.5">
      <c r="A57" s="255" t="s">
        <v>21</v>
      </c>
      <c r="B57" s="253">
        <v>10900</v>
      </c>
      <c r="C57" s="253">
        <v>10900</v>
      </c>
      <c r="D57" s="253">
        <v>11233.629324546953</v>
      </c>
      <c r="E57" s="253">
        <v>11572.841235584845</v>
      </c>
      <c r="F57" s="253">
        <v>11917.71402191104</v>
      </c>
      <c r="G57" s="253">
        <v>12268.3269798402</v>
      </c>
    </row>
    <row r="58" spans="1:7" ht="13.5">
      <c r="A58" s="255" t="s">
        <v>22</v>
      </c>
      <c r="B58" s="253">
        <v>36229</v>
      </c>
      <c r="C58" s="253">
        <v>36229</v>
      </c>
      <c r="D58" s="253">
        <v>37477.411087314664</v>
      </c>
      <c r="E58" s="253">
        <v>38747.16749637562</v>
      </c>
      <c r="F58" s="253">
        <v>40038.57129250906</v>
      </c>
      <c r="G58" s="253">
        <v>41351.92844781554</v>
      </c>
    </row>
    <row r="59" spans="1:7" ht="13.5">
      <c r="A59" s="255" t="s">
        <v>201</v>
      </c>
      <c r="B59" s="253">
        <v>2500</v>
      </c>
      <c r="C59" s="253">
        <v>16000</v>
      </c>
      <c r="D59" s="253">
        <v>37340.38220757825</v>
      </c>
      <c r="E59" s="253">
        <v>38091.91205930807</v>
      </c>
      <c r="F59" s="253">
        <v>38854.738469851734</v>
      </c>
      <c r="G59" s="253">
        <v>39629.01221740033</v>
      </c>
    </row>
    <row r="60" spans="1:7" ht="13.5">
      <c r="A60" s="256" t="s">
        <v>202</v>
      </c>
      <c r="B60" s="257">
        <v>63129</v>
      </c>
      <c r="C60" s="257">
        <v>76629</v>
      </c>
      <c r="D60" s="257">
        <v>110892.99593080726</v>
      </c>
      <c r="E60" s="257">
        <v>114069.09888023065</v>
      </c>
      <c r="F60" s="257">
        <v>117297.63458904944</v>
      </c>
      <c r="G60" s="257">
        <v>120579.33410215657</v>
      </c>
    </row>
    <row r="61" spans="1:7" ht="13.5">
      <c r="A61" s="255"/>
      <c r="B61" s="253"/>
      <c r="C61" s="253"/>
      <c r="D61" s="253"/>
      <c r="E61" s="253"/>
      <c r="F61" s="253"/>
      <c r="G61" s="253"/>
    </row>
    <row r="62" spans="1:7" ht="13.5">
      <c r="A62" s="255" t="s">
        <v>203</v>
      </c>
      <c r="B62" s="253">
        <v>275000</v>
      </c>
      <c r="C62" s="253">
        <v>275000</v>
      </c>
      <c r="D62" s="253">
        <v>275000</v>
      </c>
      <c r="E62" s="253">
        <v>275000</v>
      </c>
      <c r="F62" s="253">
        <v>275000</v>
      </c>
      <c r="G62" s="253">
        <v>275000</v>
      </c>
    </row>
    <row r="63" spans="1:7" ht="13.5">
      <c r="A63" s="255" t="s">
        <v>204</v>
      </c>
      <c r="B63" s="253">
        <v>1262991</v>
      </c>
      <c r="C63" s="253">
        <v>1262991</v>
      </c>
      <c r="D63" s="253">
        <v>1191869.3435585422</v>
      </c>
      <c r="E63" s="253">
        <v>1191869.3435585422</v>
      </c>
      <c r="F63" s="253">
        <v>1191869.3435585422</v>
      </c>
      <c r="G63" s="253">
        <v>1191869.3435585422</v>
      </c>
    </row>
    <row r="64" spans="1:7" ht="13.5">
      <c r="A64" s="255" t="s">
        <v>205</v>
      </c>
      <c r="B64" s="253">
        <v>7397</v>
      </c>
      <c r="C64" s="253">
        <v>7397</v>
      </c>
      <c r="D64" s="253">
        <v>7397</v>
      </c>
      <c r="E64" s="253">
        <v>7397</v>
      </c>
      <c r="F64" s="253">
        <v>7397</v>
      </c>
      <c r="G64" s="253">
        <v>7397</v>
      </c>
    </row>
    <row r="65" spans="1:7" ht="13.5">
      <c r="A65" s="260" t="s">
        <v>206</v>
      </c>
      <c r="B65" s="257">
        <v>1545388</v>
      </c>
      <c r="C65" s="257">
        <v>1545388</v>
      </c>
      <c r="D65" s="257">
        <f>SUM(D62:D64)</f>
        <v>1474266.3435585422</v>
      </c>
      <c r="E65" s="257">
        <v>1474266.3435585422</v>
      </c>
      <c r="F65" s="257">
        <v>1474266.3435585422</v>
      </c>
      <c r="G65" s="257">
        <v>1474266.3435585422</v>
      </c>
    </row>
    <row r="66" spans="1:7" ht="13.5">
      <c r="A66" s="255"/>
      <c r="B66" s="253"/>
      <c r="C66" s="253"/>
      <c r="D66" s="253"/>
      <c r="E66" s="253"/>
      <c r="F66" s="253"/>
      <c r="G66" s="253"/>
    </row>
    <row r="67" spans="1:7" ht="13.5">
      <c r="A67" s="255" t="s">
        <v>15</v>
      </c>
      <c r="B67" s="253">
        <v>5000</v>
      </c>
      <c r="C67" s="253">
        <v>5000</v>
      </c>
      <c r="D67" s="253">
        <v>5050</v>
      </c>
      <c r="E67" s="253">
        <v>5100.5</v>
      </c>
      <c r="F67" s="253">
        <v>5151.505</v>
      </c>
      <c r="G67" s="253">
        <v>5203.02005</v>
      </c>
    </row>
    <row r="68" spans="1:7" ht="13.5">
      <c r="A68" s="255" t="s">
        <v>207</v>
      </c>
      <c r="B68" s="253">
        <v>21049</v>
      </c>
      <c r="C68" s="253">
        <v>21049</v>
      </c>
      <c r="D68" s="253">
        <v>21259.49</v>
      </c>
      <c r="E68" s="253">
        <v>21472.0849</v>
      </c>
      <c r="F68" s="253">
        <v>21686.805749</v>
      </c>
      <c r="G68" s="253">
        <v>21903.673806490002</v>
      </c>
    </row>
    <row r="69" spans="1:7" ht="13.5">
      <c r="A69" s="255" t="s">
        <v>16</v>
      </c>
      <c r="B69" s="253">
        <v>8141</v>
      </c>
      <c r="C69" s="253">
        <v>40400.2</v>
      </c>
      <c r="D69" s="253">
        <v>40804.202000000005</v>
      </c>
      <c r="E69" s="253">
        <v>41212.24402</v>
      </c>
      <c r="F69" s="253">
        <v>41624.3664602</v>
      </c>
      <c r="G69" s="253">
        <v>42040.610124802</v>
      </c>
    </row>
    <row r="70" spans="1:7" ht="13.5">
      <c r="A70" s="255" t="s">
        <v>208</v>
      </c>
      <c r="B70" s="253">
        <v>48918</v>
      </c>
      <c r="C70" s="253">
        <v>48918</v>
      </c>
      <c r="D70" s="253">
        <v>49407.18</v>
      </c>
      <c r="E70" s="253">
        <v>49901.2518</v>
      </c>
      <c r="F70" s="253">
        <v>50400.264318</v>
      </c>
      <c r="G70" s="253">
        <v>50904.26696118</v>
      </c>
    </row>
    <row r="71" spans="1:7" ht="13.5">
      <c r="A71" s="255" t="s">
        <v>209</v>
      </c>
      <c r="B71" s="253">
        <v>23500</v>
      </c>
      <c r="C71" s="253">
        <v>23500</v>
      </c>
      <c r="D71" s="253">
        <v>23735</v>
      </c>
      <c r="E71" s="253">
        <v>23972.350000000002</v>
      </c>
      <c r="F71" s="253">
        <v>24212.073500000002</v>
      </c>
      <c r="G71" s="253">
        <v>24454.194235000003</v>
      </c>
    </row>
    <row r="72" spans="1:7" ht="13.5">
      <c r="A72" s="255" t="s">
        <v>26</v>
      </c>
      <c r="B72" s="253">
        <v>113925</v>
      </c>
      <c r="C72" s="253">
        <v>15189.142002374392</v>
      </c>
      <c r="D72" s="253">
        <v>15341.033422398135</v>
      </c>
      <c r="E72" s="253">
        <v>15494.443756622117</v>
      </c>
      <c r="F72" s="253">
        <v>15649.388194188337</v>
      </c>
      <c r="G72" s="253">
        <v>15805.882076130223</v>
      </c>
    </row>
    <row r="73" spans="1:7" ht="13.5">
      <c r="A73" s="255" t="s">
        <v>210</v>
      </c>
      <c r="B73" s="253">
        <v>59200</v>
      </c>
      <c r="C73" s="253">
        <v>59200</v>
      </c>
      <c r="D73" s="253">
        <v>59792</v>
      </c>
      <c r="E73" s="253">
        <v>60389.92</v>
      </c>
      <c r="F73" s="253">
        <v>60993.8192</v>
      </c>
      <c r="G73" s="253">
        <v>61603.757392</v>
      </c>
    </row>
    <row r="74" spans="1:7" ht="13.5">
      <c r="A74" s="255" t="s">
        <v>24</v>
      </c>
      <c r="B74" s="253">
        <v>35100</v>
      </c>
      <c r="C74" s="253">
        <v>35100</v>
      </c>
      <c r="D74" s="253">
        <v>35451</v>
      </c>
      <c r="E74" s="253">
        <v>35805.51</v>
      </c>
      <c r="F74" s="253">
        <v>36163.56510000001</v>
      </c>
      <c r="G74" s="253">
        <v>36525.200751000004</v>
      </c>
    </row>
    <row r="75" spans="1:7" ht="13.5">
      <c r="A75" s="255" t="s">
        <v>211</v>
      </c>
      <c r="B75" s="253">
        <v>85350</v>
      </c>
      <c r="C75" s="253">
        <v>122575</v>
      </c>
      <c r="D75" s="253">
        <v>123800.75</v>
      </c>
      <c r="E75" s="253">
        <v>125038.7575</v>
      </c>
      <c r="F75" s="253">
        <v>126289.14507500001</v>
      </c>
      <c r="G75" s="253">
        <v>127552.03652575001</v>
      </c>
    </row>
    <row r="76" spans="1:7" ht="13.5">
      <c r="A76" s="255" t="s">
        <v>30</v>
      </c>
      <c r="B76" s="253">
        <v>1650</v>
      </c>
      <c r="C76" s="253">
        <v>1650</v>
      </c>
      <c r="D76" s="253">
        <v>1666.5</v>
      </c>
      <c r="E76" s="253">
        <v>1683.1650000000002</v>
      </c>
      <c r="F76" s="253">
        <v>1699.99665</v>
      </c>
      <c r="G76" s="253">
        <v>1716.9966165000003</v>
      </c>
    </row>
    <row r="77" spans="1:7" ht="13.5">
      <c r="A77" s="255" t="s">
        <v>31</v>
      </c>
      <c r="B77" s="253">
        <v>6125</v>
      </c>
      <c r="C77" s="253">
        <v>6125</v>
      </c>
      <c r="D77" s="253">
        <v>6186.25</v>
      </c>
      <c r="E77" s="253">
        <v>6248.1125</v>
      </c>
      <c r="F77" s="253">
        <v>6310.5936249999995</v>
      </c>
      <c r="G77" s="253">
        <v>6373.6995612499995</v>
      </c>
    </row>
    <row r="78" spans="1:7" ht="13.5">
      <c r="A78" s="255" t="s">
        <v>102</v>
      </c>
      <c r="B78" s="253">
        <v>63500</v>
      </c>
      <c r="C78" s="253">
        <v>65500</v>
      </c>
      <c r="D78" s="253">
        <v>66155</v>
      </c>
      <c r="E78" s="253">
        <v>66816.55</v>
      </c>
      <c r="F78" s="253">
        <v>67484.71549999999</v>
      </c>
      <c r="G78" s="253">
        <v>68159.562655</v>
      </c>
    </row>
    <row r="79" spans="1:7" ht="13.5">
      <c r="A79" s="255" t="s">
        <v>212</v>
      </c>
      <c r="B79" s="253">
        <v>0</v>
      </c>
      <c r="C79" s="253">
        <v>0</v>
      </c>
      <c r="D79" s="253">
        <v>18180</v>
      </c>
      <c r="E79" s="253">
        <v>18361.8</v>
      </c>
      <c r="F79" s="253">
        <v>29045.417999999998</v>
      </c>
      <c r="G79" s="253">
        <v>29335.87218</v>
      </c>
    </row>
    <row r="80" spans="1:7" ht="13.5">
      <c r="A80" s="255" t="s">
        <v>27</v>
      </c>
      <c r="B80" s="253">
        <v>688675</v>
      </c>
      <c r="C80" s="253">
        <v>688675</v>
      </c>
      <c r="D80" s="253">
        <v>709198.621911038</v>
      </c>
      <c r="E80" s="253">
        <v>730063.8487602966</v>
      </c>
      <c r="F80" s="253">
        <v>751275.4602843493</v>
      </c>
      <c r="G80" s="253">
        <v>772838.2976540069</v>
      </c>
    </row>
    <row r="81" spans="1:7" ht="13.5">
      <c r="A81" s="255" t="s">
        <v>28</v>
      </c>
      <c r="B81" s="253">
        <v>115200</v>
      </c>
      <c r="C81" s="253">
        <v>115200</v>
      </c>
      <c r="D81" s="253">
        <v>116352</v>
      </c>
      <c r="E81" s="253">
        <v>117515.51999999999</v>
      </c>
      <c r="F81" s="253">
        <v>118690.6752</v>
      </c>
      <c r="G81" s="253">
        <v>119877.581952</v>
      </c>
    </row>
    <row r="82" spans="1:7" ht="13.5">
      <c r="A82" s="255" t="s">
        <v>83</v>
      </c>
      <c r="B82" s="253">
        <v>1573</v>
      </c>
      <c r="C82" s="253">
        <v>5499.5</v>
      </c>
      <c r="D82" s="253">
        <v>5762.485115321251</v>
      </c>
      <c r="E82" s="253">
        <v>6030.179982948929</v>
      </c>
      <c r="F82" s="253">
        <v>6302.652499417627</v>
      </c>
      <c r="G82" s="253">
        <v>6579.971448217403</v>
      </c>
    </row>
    <row r="83" spans="1:7" ht="13.5">
      <c r="A83" s="255" t="s">
        <v>213</v>
      </c>
      <c r="B83" s="253">
        <v>10626</v>
      </c>
      <c r="C83" s="253">
        <v>16626</v>
      </c>
      <c r="D83" s="253">
        <v>17041.848138385503</v>
      </c>
      <c r="E83" s="253">
        <v>17464.350639538716</v>
      </c>
      <c r="F83" s="253">
        <v>17893.599005901153</v>
      </c>
      <c r="G83" s="253">
        <v>18329.685904526887</v>
      </c>
    </row>
    <row r="84" spans="1:7" ht="13.5">
      <c r="A84" s="255" t="s">
        <v>214</v>
      </c>
      <c r="B84" s="253">
        <v>0</v>
      </c>
      <c r="C84" s="253">
        <v>11833.805771428571</v>
      </c>
      <c r="D84" s="253">
        <v>12110.21631678701</v>
      </c>
      <c r="E84" s="253">
        <v>12390.971692475472</v>
      </c>
      <c r="F84" s="253">
        <v>12676.131154046026</v>
      </c>
      <c r="G84" s="253">
        <v>12965.754707678743</v>
      </c>
    </row>
    <row r="85" spans="1:7" ht="13.5">
      <c r="A85" s="255" t="s">
        <v>215</v>
      </c>
      <c r="B85" s="253">
        <v>0</v>
      </c>
      <c r="C85" s="253">
        <v>5532.422181066211</v>
      </c>
      <c r="D85" s="253">
        <v>5713.88917070541</v>
      </c>
      <c r="E85" s="253">
        <v>5898.432257919286</v>
      </c>
      <c r="F85" s="253">
        <v>6086.094817960369</v>
      </c>
      <c r="G85" s="253">
        <v>6276.920785976482</v>
      </c>
    </row>
    <row r="86" spans="1:7" ht="13.5">
      <c r="A86" s="255" t="s">
        <v>216</v>
      </c>
      <c r="B86" s="253">
        <v>109376</v>
      </c>
      <c r="C86" s="253">
        <v>127376</v>
      </c>
      <c r="D86" s="253">
        <v>133199.58537067543</v>
      </c>
      <c r="E86" s="253">
        <v>139126.9048487644</v>
      </c>
      <c r="F86" s="253">
        <v>145159.45075787808</v>
      </c>
      <c r="G86" s="253">
        <v>151298.73489468917</v>
      </c>
    </row>
    <row r="87" spans="1:7" ht="13.5">
      <c r="A87" s="255" t="s">
        <v>217</v>
      </c>
      <c r="B87" s="253">
        <v>16250</v>
      </c>
      <c r="C87" s="253">
        <v>16250</v>
      </c>
      <c r="D87" s="253">
        <v>16412.5</v>
      </c>
      <c r="E87" s="253">
        <v>16576.625</v>
      </c>
      <c r="F87" s="253">
        <v>16742.39125</v>
      </c>
      <c r="G87" s="253">
        <v>16909.815162500003</v>
      </c>
    </row>
    <row r="88" spans="1:7" ht="13.5">
      <c r="A88" s="255" t="s">
        <v>218</v>
      </c>
      <c r="B88" s="253">
        <v>500</v>
      </c>
      <c r="C88" s="253">
        <v>500</v>
      </c>
      <c r="D88" s="253">
        <v>505</v>
      </c>
      <c r="E88" s="253">
        <v>510.05</v>
      </c>
      <c r="F88" s="253">
        <v>515.1505</v>
      </c>
      <c r="G88" s="253">
        <v>520.302005</v>
      </c>
    </row>
    <row r="89" spans="1:7" ht="13.5">
      <c r="A89" s="256" t="s">
        <v>82</v>
      </c>
      <c r="B89" s="257">
        <v>1413658</v>
      </c>
      <c r="C89" s="257">
        <v>1431699.069954869</v>
      </c>
      <c r="D89" s="257">
        <f>SUM(D67:D88)</f>
        <v>1483124.5514453107</v>
      </c>
      <c r="E89" s="257">
        <v>1517073.5726585654</v>
      </c>
      <c r="F89" s="257">
        <v>1562053.261840941</v>
      </c>
      <c r="G89" s="257">
        <v>1597175.8374496978</v>
      </c>
    </row>
    <row r="90" spans="1:7" ht="13.5">
      <c r="A90" s="255"/>
      <c r="B90" s="253"/>
      <c r="C90" s="253"/>
      <c r="D90" s="253"/>
      <c r="E90" s="253"/>
      <c r="F90" s="253"/>
      <c r="G90" s="253"/>
    </row>
    <row r="91" spans="1:7" ht="13.5">
      <c r="A91" s="255" t="s">
        <v>219</v>
      </c>
      <c r="B91" s="253">
        <v>290716</v>
      </c>
      <c r="C91" s="253">
        <v>290716</v>
      </c>
      <c r="D91" s="253">
        <v>293623.16</v>
      </c>
      <c r="E91" s="253">
        <v>296559.3916</v>
      </c>
      <c r="F91" s="253">
        <v>299524.98551599996</v>
      </c>
      <c r="G91" s="253">
        <v>302520.23537116</v>
      </c>
    </row>
    <row r="92" spans="1:7" ht="13.5">
      <c r="A92" s="255" t="s">
        <v>220</v>
      </c>
      <c r="B92" s="253">
        <v>34000</v>
      </c>
      <c r="C92" s="253">
        <v>47500</v>
      </c>
      <c r="D92" s="253">
        <v>49389.33278418452</v>
      </c>
      <c r="E92" s="253">
        <v>51311.702224052715</v>
      </c>
      <c r="F92" s="253">
        <v>53267.58011943987</v>
      </c>
      <c r="G92" s="253">
        <v>55257.44440251235</v>
      </c>
    </row>
    <row r="93" spans="1:7" ht="13.5">
      <c r="A93" s="255" t="s">
        <v>34</v>
      </c>
      <c r="B93" s="253">
        <v>185500</v>
      </c>
      <c r="C93" s="253">
        <v>185500</v>
      </c>
      <c r="D93" s="253">
        <v>192159.5716639209</v>
      </c>
      <c r="E93" s="253">
        <v>198933.78476112025</v>
      </c>
      <c r="F93" s="253">
        <v>205824.2661630972</v>
      </c>
      <c r="G93" s="253">
        <v>212832.66381463755</v>
      </c>
    </row>
    <row r="94" spans="1:7" ht="13.5">
      <c r="A94" s="255" t="s">
        <v>103</v>
      </c>
      <c r="B94" s="253">
        <v>38000</v>
      </c>
      <c r="C94" s="253">
        <v>38000</v>
      </c>
      <c r="D94" s="253">
        <v>38837.57825370676</v>
      </c>
      <c r="E94" s="253">
        <v>39688.108072487645</v>
      </c>
      <c r="F94" s="253">
        <v>40551.76472981878</v>
      </c>
      <c r="G94" s="253">
        <v>41428.72570948929</v>
      </c>
    </row>
    <row r="95" spans="1:7" ht="13.5">
      <c r="A95" s="255" t="s">
        <v>35</v>
      </c>
      <c r="B95" s="253">
        <v>21000</v>
      </c>
      <c r="C95" s="253">
        <v>21000</v>
      </c>
      <c r="D95" s="253">
        <v>21646.77924217463</v>
      </c>
      <c r="E95" s="253">
        <v>22304.394069192753</v>
      </c>
      <c r="F95" s="253">
        <v>22972.99651482702</v>
      </c>
      <c r="G95" s="253">
        <v>23652.740569967053</v>
      </c>
    </row>
    <row r="96" spans="1:7" ht="13.5">
      <c r="A96" s="255" t="s">
        <v>36</v>
      </c>
      <c r="B96" s="253">
        <v>112501.5</v>
      </c>
      <c r="C96" s="253">
        <v>112501.5</v>
      </c>
      <c r="D96" s="253">
        <v>116746.36672981878</v>
      </c>
      <c r="E96" s="253">
        <v>121064.88064423396</v>
      </c>
      <c r="F96" s="253">
        <v>125458.09020026444</v>
      </c>
      <c r="G96" s="253">
        <v>129927.0574593511</v>
      </c>
    </row>
    <row r="97" spans="1:7" ht="13.5">
      <c r="A97" s="255" t="s">
        <v>25</v>
      </c>
      <c r="B97" s="253">
        <v>58500</v>
      </c>
      <c r="C97" s="253">
        <v>58500</v>
      </c>
      <c r="D97" s="253">
        <v>60208.14662273476</v>
      </c>
      <c r="E97" s="253">
        <v>61944.606177924215</v>
      </c>
      <c r="F97" s="253">
        <v>63709.77410955519</v>
      </c>
      <c r="G97" s="253">
        <v>65504.05093920099</v>
      </c>
    </row>
    <row r="98" spans="1:7" ht="13.5">
      <c r="A98" s="255" t="s">
        <v>29</v>
      </c>
      <c r="B98" s="253">
        <v>44640</v>
      </c>
      <c r="C98" s="253">
        <v>44640</v>
      </c>
      <c r="D98" s="253">
        <v>46028.387232289955</v>
      </c>
      <c r="E98" s="253">
        <v>47440.0782092257</v>
      </c>
      <c r="F98" s="253">
        <v>48875.40016697694</v>
      </c>
      <c r="G98" s="253">
        <v>50334.684556062275</v>
      </c>
    </row>
    <row r="99" spans="1:7" ht="13.5">
      <c r="A99" s="255" t="s">
        <v>221</v>
      </c>
      <c r="B99" s="253">
        <v>16000</v>
      </c>
      <c r="C99" s="253">
        <v>16000</v>
      </c>
      <c r="D99" s="253">
        <v>16160</v>
      </c>
      <c r="E99" s="253">
        <v>16321.6</v>
      </c>
      <c r="F99" s="253">
        <v>16484.816</v>
      </c>
      <c r="G99" s="253">
        <v>16649.66416</v>
      </c>
    </row>
    <row r="100" spans="1:7" ht="13.5">
      <c r="A100" s="255" t="s">
        <v>222</v>
      </c>
      <c r="B100" s="253">
        <v>80000</v>
      </c>
      <c r="C100" s="253">
        <v>80000</v>
      </c>
      <c r="D100" s="253">
        <v>82671.91103789126</v>
      </c>
      <c r="E100" s="253">
        <v>85389.26029654036</v>
      </c>
      <c r="F100" s="253">
        <v>88152.68934925865</v>
      </c>
      <c r="G100" s="253">
        <v>90962.84805700165</v>
      </c>
    </row>
    <row r="101" spans="1:7" ht="13.5">
      <c r="A101" s="256" t="s">
        <v>37</v>
      </c>
      <c r="B101" s="257">
        <v>880857.5</v>
      </c>
      <c r="C101" s="257">
        <v>894357.5</v>
      </c>
      <c r="D101" s="257">
        <f>SUM(D91:D100)</f>
        <v>917471.2335667216</v>
      </c>
      <c r="E101" s="257">
        <v>940957.8060547775</v>
      </c>
      <c r="F101" s="257">
        <v>964822.3628692381</v>
      </c>
      <c r="G101" s="257">
        <v>989070.1150393824</v>
      </c>
    </row>
    <row r="102" spans="1:7" ht="13.5">
      <c r="A102" s="255"/>
      <c r="B102" s="253"/>
      <c r="C102" s="253"/>
      <c r="D102" s="253"/>
      <c r="E102" s="253"/>
      <c r="F102" s="253"/>
      <c r="G102" s="253"/>
    </row>
    <row r="103" spans="1:7" ht="13.5">
      <c r="A103" s="255" t="s">
        <v>268</v>
      </c>
      <c r="B103" s="253">
        <v>0</v>
      </c>
      <c r="C103" s="253">
        <v>0</v>
      </c>
      <c r="D103" s="253">
        <v>0</v>
      </c>
      <c r="E103" s="253">
        <v>0</v>
      </c>
      <c r="F103" s="253">
        <v>0</v>
      </c>
      <c r="G103" s="253">
        <v>0</v>
      </c>
    </row>
    <row r="104" spans="1:7" ht="13.5">
      <c r="A104" s="255" t="s">
        <v>111</v>
      </c>
      <c r="B104" s="253">
        <v>188770</v>
      </c>
      <c r="C104" s="253">
        <v>86188.79999999999</v>
      </c>
      <c r="D104" s="253">
        <v>87963.69291598022</v>
      </c>
      <c r="E104" s="253">
        <v>89738.58583196046</v>
      </c>
      <c r="F104" s="253">
        <v>91513.47874794068</v>
      </c>
      <c r="G104" s="253">
        <v>93288.3716639209</v>
      </c>
    </row>
    <row r="105" spans="1:7" ht="13.5">
      <c r="A105" s="255" t="s">
        <v>223</v>
      </c>
      <c r="B105" s="253">
        <v>500000</v>
      </c>
      <c r="C105" s="253">
        <v>500000</v>
      </c>
      <c r="D105" s="253">
        <v>500000</v>
      </c>
      <c r="E105" s="253">
        <v>500000</v>
      </c>
      <c r="F105" s="253">
        <v>500000</v>
      </c>
      <c r="G105" s="253">
        <v>500000</v>
      </c>
    </row>
    <row r="106" spans="1:7" ht="13.5">
      <c r="A106" s="256" t="s">
        <v>224</v>
      </c>
      <c r="B106" s="257">
        <f aca="true" t="shared" si="3" ref="B106:G106">SUM(B103:B105)</f>
        <v>688770</v>
      </c>
      <c r="C106" s="257">
        <f t="shared" si="3"/>
        <v>586188.8</v>
      </c>
      <c r="D106" s="257">
        <f t="shared" si="3"/>
        <v>587963.6929159802</v>
      </c>
      <c r="E106" s="257">
        <f t="shared" si="3"/>
        <v>589738.5858319604</v>
      </c>
      <c r="F106" s="257">
        <f t="shared" si="3"/>
        <v>591513.4787479406</v>
      </c>
      <c r="G106" s="257">
        <f t="shared" si="3"/>
        <v>593288.3716639209</v>
      </c>
    </row>
    <row r="107" spans="1:7" ht="13.5">
      <c r="A107" s="255"/>
      <c r="B107" s="253"/>
      <c r="C107" s="253"/>
      <c r="D107" s="253"/>
      <c r="E107" s="253"/>
      <c r="F107" s="253"/>
      <c r="G107" s="253"/>
    </row>
    <row r="108" spans="1:7" ht="13.5">
      <c r="A108" s="261" t="s">
        <v>225</v>
      </c>
      <c r="B108" s="254">
        <f aca="true" t="shared" si="4" ref="B108:G108">B106+B101+B89+B65+B60+B53+B42</f>
        <v>12539427.754643038</v>
      </c>
      <c r="C108" s="254">
        <f t="shared" si="4"/>
        <v>12537721.892254358</v>
      </c>
      <c r="D108" s="254">
        <f t="shared" si="4"/>
        <v>12784100.199960824</v>
      </c>
      <c r="E108" s="254">
        <f t="shared" si="4"/>
        <v>13016701.984760245</v>
      </c>
      <c r="F108" s="254">
        <f t="shared" si="4"/>
        <v>13263348.120380986</v>
      </c>
      <c r="G108" s="254">
        <f t="shared" si="4"/>
        <v>13503191.411150288</v>
      </c>
    </row>
    <row r="109" spans="1:7" ht="13.5">
      <c r="A109" s="255"/>
      <c r="B109" s="253"/>
      <c r="C109" s="253"/>
      <c r="D109" s="253"/>
      <c r="E109" s="253"/>
      <c r="F109" s="253"/>
      <c r="G109" s="253"/>
    </row>
    <row r="110" spans="1:7" ht="13.5">
      <c r="A110" s="256" t="s">
        <v>226</v>
      </c>
      <c r="B110" s="257">
        <f aca="true" t="shared" si="5" ref="B110:G110">B14-B108</f>
        <v>29976.245356962085</v>
      </c>
      <c r="C110" s="257">
        <f t="shared" si="5"/>
        <v>31682.107745641842</v>
      </c>
      <c r="D110" s="257">
        <f t="shared" si="5"/>
        <v>34809.3601709716</v>
      </c>
      <c r="E110" s="257">
        <f t="shared" si="5"/>
        <v>51713.1355033461</v>
      </c>
      <c r="F110" s="257">
        <f t="shared" si="5"/>
        <v>54572.560014402494</v>
      </c>
      <c r="G110" s="257">
        <f t="shared" si="5"/>
        <v>64234.82937689498</v>
      </c>
    </row>
    <row r="111" spans="2:7" ht="13.5">
      <c r="B111" s="224">
        <v>9.313225746154785E-10</v>
      </c>
      <c r="C111" s="224">
        <v>0</v>
      </c>
      <c r="D111" s="224">
        <v>-9.313225746154785E-10</v>
      </c>
      <c r="E111" s="224">
        <v>9.313225746154785E-10</v>
      </c>
      <c r="F111" s="224">
        <v>-9.313225746154785E-10</v>
      </c>
      <c r="G111" s="224">
        <v>-1.862645149230957E-09</v>
      </c>
    </row>
  </sheetData>
  <sheetProtection/>
  <printOp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sheetPr>
    <tabColor rgb="FF7030A0"/>
  </sheetPr>
  <dimension ref="A1:U142"/>
  <sheetViews>
    <sheetView workbookViewId="0" topLeftCell="A1">
      <selection activeCell="A2" sqref="A2"/>
    </sheetView>
  </sheetViews>
  <sheetFormatPr defaultColWidth="11.57421875" defaultRowHeight="15"/>
  <cols>
    <col min="1" max="1" width="45.8515625" style="48" customWidth="1"/>
    <col min="2" max="2" width="1.421875" style="119" customWidth="1"/>
    <col min="3" max="3" width="9.421875" style="48" customWidth="1"/>
    <col min="4" max="4" width="8.421875" style="49" customWidth="1"/>
    <col min="5" max="5" width="9.7109375" style="48" bestFit="1" customWidth="1"/>
    <col min="6" max="6" width="9.421875" style="48" bestFit="1" customWidth="1"/>
    <col min="7" max="7" width="9.28125" style="48" bestFit="1" customWidth="1"/>
    <col min="8" max="8" width="9.7109375" style="48" bestFit="1" customWidth="1"/>
    <col min="9" max="9" width="9.421875" style="48" bestFit="1" customWidth="1"/>
    <col min="10" max="10" width="11.421875" style="48" bestFit="1" customWidth="1"/>
    <col min="11" max="11" width="1.421875" style="47" customWidth="1"/>
    <col min="12" max="12" width="9.28125" style="48" bestFit="1" customWidth="1"/>
    <col min="13" max="13" width="9.421875" style="48" bestFit="1" customWidth="1"/>
    <col min="14" max="14" width="9.7109375" style="48" bestFit="1" customWidth="1"/>
    <col min="15" max="15" width="9.421875" style="48" bestFit="1" customWidth="1"/>
    <col min="16" max="16" width="9.8515625" style="48" bestFit="1" customWidth="1"/>
    <col min="17" max="17" width="9.28125" style="48" bestFit="1" customWidth="1"/>
    <col min="18" max="18" width="12.7109375" style="48" bestFit="1" customWidth="1"/>
    <col min="19" max="16384" width="11.421875" style="48" customWidth="1"/>
  </cols>
  <sheetData>
    <row r="1" spans="1:3" ht="12">
      <c r="A1" s="120" t="str">
        <f>'YEAR 1'!A1</f>
        <v>Enrollment</v>
      </c>
      <c r="C1" s="48">
        <f>'Combined '!B2</f>
        <v>1273</v>
      </c>
    </row>
    <row r="2" ht="12">
      <c r="A2" s="48" t="s">
        <v>290</v>
      </c>
    </row>
    <row r="3" spans="1:18" ht="12">
      <c r="A3" s="306" t="s">
        <v>120</v>
      </c>
      <c r="B3" s="306"/>
      <c r="C3" s="306"/>
      <c r="D3" s="306"/>
      <c r="E3" s="306"/>
      <c r="F3" s="306"/>
      <c r="G3" s="306"/>
      <c r="H3" s="306"/>
      <c r="I3" s="306"/>
      <c r="J3" s="306"/>
      <c r="K3" s="306"/>
      <c r="L3" s="306"/>
      <c r="M3" s="306"/>
      <c r="N3" s="306"/>
      <c r="O3" s="306"/>
      <c r="P3" s="306"/>
      <c r="Q3" s="306"/>
      <c r="R3" s="306"/>
    </row>
    <row r="4" spans="1:18" s="11" customFormat="1" ht="24">
      <c r="A4" s="10"/>
      <c r="B4" s="153"/>
      <c r="C4" s="144">
        <v>42156</v>
      </c>
      <c r="D4" s="145">
        <v>42186</v>
      </c>
      <c r="E4" s="144">
        <v>42217</v>
      </c>
      <c r="F4" s="144">
        <v>42248</v>
      </c>
      <c r="G4" s="144">
        <v>42278</v>
      </c>
      <c r="H4" s="144">
        <v>42309</v>
      </c>
      <c r="I4" s="144">
        <v>42339</v>
      </c>
      <c r="J4" s="144" t="s">
        <v>162</v>
      </c>
      <c r="K4" s="173"/>
      <c r="L4" s="144">
        <v>42370</v>
      </c>
      <c r="M4" s="144">
        <v>42401</v>
      </c>
      <c r="N4" s="144">
        <v>42430</v>
      </c>
      <c r="O4" s="144">
        <v>42461</v>
      </c>
      <c r="P4" s="144">
        <v>42491</v>
      </c>
      <c r="Q4" s="144">
        <v>42522</v>
      </c>
      <c r="R4" s="189" t="s">
        <v>163</v>
      </c>
    </row>
    <row r="5" spans="1:18" s="11" customFormat="1" ht="12">
      <c r="A5" s="10" t="s">
        <v>0</v>
      </c>
      <c r="B5" s="153"/>
      <c r="C5" s="144"/>
      <c r="D5" s="145"/>
      <c r="E5" s="144"/>
      <c r="F5" s="144"/>
      <c r="G5" s="144"/>
      <c r="H5" s="144"/>
      <c r="I5" s="144"/>
      <c r="J5" s="144"/>
      <c r="K5" s="173"/>
      <c r="L5" s="144"/>
      <c r="M5" s="144"/>
      <c r="N5" s="144"/>
      <c r="O5" s="144"/>
      <c r="P5" s="144"/>
      <c r="Q5" s="144"/>
      <c r="R5" s="121"/>
    </row>
    <row r="6" spans="1:18" ht="12">
      <c r="A6" s="15" t="s">
        <v>42</v>
      </c>
      <c r="B6" s="111"/>
      <c r="C6" s="62"/>
      <c r="D6" s="127"/>
      <c r="E6" s="62"/>
      <c r="F6" s="62"/>
      <c r="G6" s="62"/>
      <c r="H6" s="62"/>
      <c r="I6" s="62"/>
      <c r="J6" s="62"/>
      <c r="K6" s="149"/>
      <c r="L6" s="62"/>
      <c r="M6" s="62"/>
      <c r="N6" s="62"/>
      <c r="O6" s="62"/>
      <c r="P6" s="62"/>
      <c r="Q6" s="62"/>
      <c r="R6" s="62"/>
    </row>
    <row r="7" spans="1:18" s="47" customFormat="1" ht="24">
      <c r="A7" s="23" t="s">
        <v>146</v>
      </c>
      <c r="B7" s="111"/>
      <c r="C7" s="146">
        <v>0</v>
      </c>
      <c r="D7" s="146">
        <v>0</v>
      </c>
      <c r="E7" s="146">
        <v>0</v>
      </c>
      <c r="F7" s="146">
        <v>0</v>
      </c>
      <c r="G7" s="146">
        <v>0</v>
      </c>
      <c r="H7" s="146">
        <v>0</v>
      </c>
      <c r="I7" s="146">
        <v>0</v>
      </c>
      <c r="J7" s="172">
        <f>SUM(C7:I7)</f>
        <v>0</v>
      </c>
      <c r="K7" s="174"/>
      <c r="L7" s="146">
        <v>0</v>
      </c>
      <c r="M7" s="146">
        <v>0</v>
      </c>
      <c r="N7" s="146">
        <v>0</v>
      </c>
      <c r="O7" s="146">
        <v>0</v>
      </c>
      <c r="P7" s="146">
        <v>0</v>
      </c>
      <c r="Q7" s="146">
        <v>0</v>
      </c>
      <c r="R7" s="167">
        <f>SUM(L7:Q7)</f>
        <v>0</v>
      </c>
    </row>
    <row r="8" spans="1:18" ht="12">
      <c r="A8" s="14" t="s">
        <v>41</v>
      </c>
      <c r="B8" s="111"/>
      <c r="C8" s="146">
        <v>0</v>
      </c>
      <c r="D8" s="146">
        <v>0</v>
      </c>
      <c r="E8" s="146">
        <v>0</v>
      </c>
      <c r="F8" s="146">
        <v>0</v>
      </c>
      <c r="G8" s="146">
        <v>0</v>
      </c>
      <c r="H8" s="146">
        <v>0</v>
      </c>
      <c r="I8" s="146">
        <v>0</v>
      </c>
      <c r="J8" s="172">
        <f>SUM(C8:I8)</f>
        <v>0</v>
      </c>
      <c r="K8" s="174"/>
      <c r="L8" s="146">
        <v>0</v>
      </c>
      <c r="M8" s="146">
        <v>0</v>
      </c>
      <c r="N8" s="146">
        <v>0</v>
      </c>
      <c r="O8" s="146">
        <v>0</v>
      </c>
      <c r="P8" s="146">
        <v>0</v>
      </c>
      <c r="Q8" s="146">
        <v>0</v>
      </c>
      <c r="R8" s="167">
        <f>SUM(L8:Q8)</f>
        <v>0</v>
      </c>
    </row>
    <row r="9" spans="1:18" ht="12">
      <c r="A9" s="14" t="s">
        <v>41</v>
      </c>
      <c r="B9" s="111"/>
      <c r="C9" s="146">
        <v>0</v>
      </c>
      <c r="D9" s="146">
        <v>0</v>
      </c>
      <c r="E9" s="146">
        <v>0</v>
      </c>
      <c r="F9" s="146">
        <v>0</v>
      </c>
      <c r="G9" s="146">
        <v>0</v>
      </c>
      <c r="H9" s="146">
        <v>0</v>
      </c>
      <c r="I9" s="146">
        <v>0</v>
      </c>
      <c r="J9" s="172">
        <f>SUM(C9:I9)</f>
        <v>0</v>
      </c>
      <c r="K9" s="174"/>
      <c r="L9" s="146">
        <v>0</v>
      </c>
      <c r="M9" s="146">
        <v>0</v>
      </c>
      <c r="N9" s="146">
        <v>0</v>
      </c>
      <c r="O9" s="146">
        <v>0</v>
      </c>
      <c r="P9" s="146">
        <v>0</v>
      </c>
      <c r="Q9" s="146">
        <v>0</v>
      </c>
      <c r="R9" s="167">
        <f>SUM(L9:Q9)</f>
        <v>0</v>
      </c>
    </row>
    <row r="10" spans="1:18" ht="12">
      <c r="A10" s="123" t="s">
        <v>43</v>
      </c>
      <c r="B10" s="111"/>
      <c r="C10" s="152"/>
      <c r="D10" s="127"/>
      <c r="E10" s="62"/>
      <c r="F10" s="62"/>
      <c r="G10" s="62"/>
      <c r="H10" s="62"/>
      <c r="I10" s="62"/>
      <c r="J10" s="62"/>
      <c r="K10" s="149"/>
      <c r="L10" s="62"/>
      <c r="M10" s="62"/>
      <c r="N10" s="62"/>
      <c r="O10" s="62"/>
      <c r="P10" s="62"/>
      <c r="Q10" s="62"/>
      <c r="R10" s="121"/>
    </row>
    <row r="11" spans="1:18" ht="12">
      <c r="A11" s="24" t="s">
        <v>99</v>
      </c>
      <c r="B11" s="111"/>
      <c r="C11" s="146">
        <v>0</v>
      </c>
      <c r="D11" s="146">
        <v>0</v>
      </c>
      <c r="E11" s="146">
        <v>0</v>
      </c>
      <c r="F11" s="146">
        <v>0</v>
      </c>
      <c r="G11" s="146">
        <v>0</v>
      </c>
      <c r="H11" s="146">
        <v>0</v>
      </c>
      <c r="I11" s="146">
        <v>0</v>
      </c>
      <c r="J11" s="172">
        <f>SUM(C11:I11)</f>
        <v>0</v>
      </c>
      <c r="K11" s="174"/>
      <c r="L11" s="146">
        <v>0</v>
      </c>
      <c r="M11" s="146">
        <v>0</v>
      </c>
      <c r="N11" s="146">
        <v>0</v>
      </c>
      <c r="O11" s="146">
        <v>0</v>
      </c>
      <c r="P11" s="146">
        <v>0</v>
      </c>
      <c r="Q11" s="146">
        <v>0</v>
      </c>
      <c r="R11" s="167">
        <f>SUM(L11:Q11)</f>
        <v>0</v>
      </c>
    </row>
    <row r="12" spans="1:18" ht="12">
      <c r="A12" s="13" t="s">
        <v>47</v>
      </c>
      <c r="B12" s="111"/>
      <c r="C12" s="146">
        <v>0</v>
      </c>
      <c r="D12" s="146">
        <v>0</v>
      </c>
      <c r="E12" s="146">
        <v>0</v>
      </c>
      <c r="F12" s="146">
        <v>0</v>
      </c>
      <c r="G12" s="146">
        <v>0</v>
      </c>
      <c r="H12" s="146">
        <v>0</v>
      </c>
      <c r="I12" s="146">
        <v>0</v>
      </c>
      <c r="J12" s="172">
        <f>SUM(C12:I12)</f>
        <v>0</v>
      </c>
      <c r="K12" s="174"/>
      <c r="L12" s="146">
        <v>0</v>
      </c>
      <c r="M12" s="146">
        <v>0</v>
      </c>
      <c r="N12" s="146">
        <v>0</v>
      </c>
      <c r="O12" s="146">
        <v>0</v>
      </c>
      <c r="P12" s="146">
        <v>0</v>
      </c>
      <c r="Q12" s="146">
        <v>0</v>
      </c>
      <c r="R12" s="167">
        <f>SUM(L12:Q12)</f>
        <v>0</v>
      </c>
    </row>
    <row r="13" spans="1:18" ht="12">
      <c r="A13" s="13" t="s">
        <v>47</v>
      </c>
      <c r="B13" s="111"/>
      <c r="C13" s="146">
        <v>0</v>
      </c>
      <c r="D13" s="146">
        <v>0</v>
      </c>
      <c r="E13" s="146">
        <v>0</v>
      </c>
      <c r="F13" s="146">
        <v>0</v>
      </c>
      <c r="G13" s="146">
        <v>0</v>
      </c>
      <c r="H13" s="146">
        <v>0</v>
      </c>
      <c r="I13" s="146">
        <v>0</v>
      </c>
      <c r="J13" s="172">
        <f>SUM(C13:I13)</f>
        <v>0</v>
      </c>
      <c r="K13" s="174"/>
      <c r="L13" s="146">
        <v>0</v>
      </c>
      <c r="M13" s="146">
        <v>0</v>
      </c>
      <c r="N13" s="146">
        <v>0</v>
      </c>
      <c r="O13" s="146">
        <v>0</v>
      </c>
      <c r="P13" s="146">
        <v>0</v>
      </c>
      <c r="Q13" s="146">
        <v>0</v>
      </c>
      <c r="R13" s="167">
        <f>SUM(L13:Q13)</f>
        <v>0</v>
      </c>
    </row>
    <row r="14" spans="1:18" ht="12">
      <c r="A14" s="13" t="s">
        <v>47</v>
      </c>
      <c r="B14" s="111"/>
      <c r="C14" s="146">
        <v>0</v>
      </c>
      <c r="D14" s="146">
        <v>0</v>
      </c>
      <c r="E14" s="146">
        <v>0</v>
      </c>
      <c r="F14" s="146">
        <v>0</v>
      </c>
      <c r="G14" s="146">
        <v>0</v>
      </c>
      <c r="H14" s="146">
        <v>0</v>
      </c>
      <c r="I14" s="146">
        <v>0</v>
      </c>
      <c r="J14" s="172">
        <f>SUM(C14:I14)</f>
        <v>0</v>
      </c>
      <c r="K14" s="174"/>
      <c r="L14" s="146">
        <v>0</v>
      </c>
      <c r="M14" s="146">
        <v>0</v>
      </c>
      <c r="N14" s="146">
        <v>0</v>
      </c>
      <c r="O14" s="146">
        <v>0</v>
      </c>
      <c r="P14" s="146">
        <v>0</v>
      </c>
      <c r="Q14" s="146">
        <v>0</v>
      </c>
      <c r="R14" s="167">
        <f>SUM(L14:Q14)</f>
        <v>0</v>
      </c>
    </row>
    <row r="15" spans="1:18" ht="12">
      <c r="A15" s="13" t="s">
        <v>47</v>
      </c>
      <c r="B15" s="111"/>
      <c r="C15" s="146">
        <v>0</v>
      </c>
      <c r="D15" s="146">
        <v>0</v>
      </c>
      <c r="E15" s="146">
        <v>0</v>
      </c>
      <c r="F15" s="146">
        <v>0</v>
      </c>
      <c r="G15" s="146">
        <v>0</v>
      </c>
      <c r="H15" s="146">
        <v>0</v>
      </c>
      <c r="I15" s="146">
        <v>0</v>
      </c>
      <c r="J15" s="172">
        <f>SUM(C15:I15)</f>
        <v>0</v>
      </c>
      <c r="K15" s="174"/>
      <c r="L15" s="146">
        <v>0</v>
      </c>
      <c r="M15" s="146">
        <v>0</v>
      </c>
      <c r="N15" s="146">
        <v>0</v>
      </c>
      <c r="O15" s="146">
        <v>0</v>
      </c>
      <c r="P15" s="146">
        <v>0</v>
      </c>
      <c r="Q15" s="146">
        <v>0</v>
      </c>
      <c r="R15" s="167">
        <f>SUM(L15:Q15)</f>
        <v>0</v>
      </c>
    </row>
    <row r="16" spans="1:18" ht="12">
      <c r="A16" s="20" t="s">
        <v>4</v>
      </c>
      <c r="B16" s="111"/>
      <c r="C16" s="147">
        <f>SUM(C7:C15)</f>
        <v>0</v>
      </c>
      <c r="D16" s="147">
        <f aca="true" t="shared" si="0" ref="D16:R16">SUM(D7:D15)</f>
        <v>0</v>
      </c>
      <c r="E16" s="147">
        <f t="shared" si="0"/>
        <v>0</v>
      </c>
      <c r="F16" s="147">
        <f t="shared" si="0"/>
        <v>0</v>
      </c>
      <c r="G16" s="147">
        <f t="shared" si="0"/>
        <v>0</v>
      </c>
      <c r="H16" s="147">
        <f t="shared" si="0"/>
        <v>0</v>
      </c>
      <c r="I16" s="147">
        <f t="shared" si="0"/>
        <v>0</v>
      </c>
      <c r="J16" s="147">
        <f t="shared" si="0"/>
        <v>0</v>
      </c>
      <c r="K16" s="175"/>
      <c r="L16" s="147">
        <f t="shared" si="0"/>
        <v>0</v>
      </c>
      <c r="M16" s="147">
        <f t="shared" si="0"/>
        <v>0</v>
      </c>
      <c r="N16" s="147">
        <f t="shared" si="0"/>
        <v>0</v>
      </c>
      <c r="O16" s="147">
        <f t="shared" si="0"/>
        <v>0</v>
      </c>
      <c r="P16" s="147">
        <f t="shared" si="0"/>
        <v>0</v>
      </c>
      <c r="Q16" s="147">
        <f t="shared" si="0"/>
        <v>0</v>
      </c>
      <c r="R16" s="147">
        <f t="shared" si="0"/>
        <v>0</v>
      </c>
    </row>
    <row r="17" spans="1:18" s="47" customFormat="1" ht="12">
      <c r="A17" s="16"/>
      <c r="B17" s="111"/>
      <c r="C17" s="148"/>
      <c r="D17" s="79"/>
      <c r="E17" s="149"/>
      <c r="F17" s="149"/>
      <c r="G17" s="149"/>
      <c r="H17" s="149"/>
      <c r="I17" s="149"/>
      <c r="J17" s="62"/>
      <c r="K17" s="149"/>
      <c r="L17" s="149"/>
      <c r="M17" s="149"/>
      <c r="N17" s="149"/>
      <c r="O17" s="149"/>
      <c r="P17" s="149"/>
      <c r="Q17" s="149"/>
      <c r="R17" s="62"/>
    </row>
    <row r="18" spans="1:18" ht="12">
      <c r="A18" s="10" t="s">
        <v>56</v>
      </c>
      <c r="B18" s="111"/>
      <c r="C18" s="150"/>
      <c r="D18" s="127"/>
      <c r="E18" s="62"/>
      <c r="F18" s="62"/>
      <c r="G18" s="62"/>
      <c r="H18" s="62"/>
      <c r="I18" s="62"/>
      <c r="J18" s="62"/>
      <c r="K18" s="149"/>
      <c r="L18" s="62"/>
      <c r="M18" s="62"/>
      <c r="N18" s="62"/>
      <c r="O18" s="62"/>
      <c r="P18" s="62"/>
      <c r="Q18" s="62"/>
      <c r="R18" s="121"/>
    </row>
    <row r="19" spans="1:18" ht="12">
      <c r="A19" s="12" t="s">
        <v>77</v>
      </c>
      <c r="B19" s="111"/>
      <c r="C19" s="150"/>
      <c r="D19" s="127"/>
      <c r="E19" s="62"/>
      <c r="F19" s="62"/>
      <c r="G19" s="62"/>
      <c r="H19" s="62"/>
      <c r="I19" s="62"/>
      <c r="J19" s="62"/>
      <c r="K19" s="149"/>
      <c r="L19" s="62"/>
      <c r="M19" s="62"/>
      <c r="N19" s="62"/>
      <c r="O19" s="62"/>
      <c r="P19" s="62"/>
      <c r="Q19" s="62"/>
      <c r="R19" s="121"/>
    </row>
    <row r="20" spans="1:18" ht="24">
      <c r="A20" s="79" t="s">
        <v>135</v>
      </c>
      <c r="B20" s="111"/>
      <c r="C20" s="146">
        <v>0</v>
      </c>
      <c r="D20" s="146">
        <v>0</v>
      </c>
      <c r="E20" s="146">
        <v>0</v>
      </c>
      <c r="F20" s="146">
        <v>0</v>
      </c>
      <c r="G20" s="146">
        <v>0</v>
      </c>
      <c r="H20" s="146">
        <v>0</v>
      </c>
      <c r="I20" s="146">
        <v>0</v>
      </c>
      <c r="J20" s="172">
        <f aca="true" t="shared" si="1" ref="J20:J26">SUM(C20:I20)</f>
        <v>0</v>
      </c>
      <c r="K20" s="174"/>
      <c r="L20" s="146">
        <v>0</v>
      </c>
      <c r="M20" s="146">
        <v>0</v>
      </c>
      <c r="N20" s="146">
        <v>0</v>
      </c>
      <c r="O20" s="146">
        <v>0</v>
      </c>
      <c r="P20" s="146">
        <v>0</v>
      </c>
      <c r="Q20" s="146">
        <v>0</v>
      </c>
      <c r="R20" s="167">
        <f aca="true" t="shared" si="2" ref="R20:R26">SUM(L20:Q20)</f>
        <v>0</v>
      </c>
    </row>
    <row r="21" spans="1:18" ht="12">
      <c r="A21" s="14" t="s">
        <v>74</v>
      </c>
      <c r="B21" s="111"/>
      <c r="C21" s="146">
        <v>0</v>
      </c>
      <c r="D21" s="146">
        <v>0</v>
      </c>
      <c r="E21" s="146">
        <v>0</v>
      </c>
      <c r="F21" s="146">
        <v>0</v>
      </c>
      <c r="G21" s="146">
        <v>0</v>
      </c>
      <c r="H21" s="146">
        <v>0</v>
      </c>
      <c r="I21" s="146">
        <v>0</v>
      </c>
      <c r="J21" s="172">
        <f t="shared" si="1"/>
        <v>0</v>
      </c>
      <c r="K21" s="174"/>
      <c r="L21" s="146">
        <v>0</v>
      </c>
      <c r="M21" s="146">
        <v>0</v>
      </c>
      <c r="N21" s="146">
        <v>0</v>
      </c>
      <c r="O21" s="146">
        <v>0</v>
      </c>
      <c r="P21" s="146">
        <v>0</v>
      </c>
      <c r="Q21" s="146">
        <v>0</v>
      </c>
      <c r="R21" s="167">
        <f t="shared" si="2"/>
        <v>0</v>
      </c>
    </row>
    <row r="22" spans="1:18" ht="12">
      <c r="A22" s="7" t="s">
        <v>47</v>
      </c>
      <c r="B22" s="111"/>
      <c r="C22" s="146">
        <v>0</v>
      </c>
      <c r="D22" s="146">
        <v>0</v>
      </c>
      <c r="E22" s="146">
        <v>0</v>
      </c>
      <c r="F22" s="146">
        <v>0</v>
      </c>
      <c r="G22" s="146">
        <v>0</v>
      </c>
      <c r="H22" s="146">
        <v>0</v>
      </c>
      <c r="I22" s="146">
        <v>0</v>
      </c>
      <c r="J22" s="172">
        <f t="shared" si="1"/>
        <v>0</v>
      </c>
      <c r="K22" s="174"/>
      <c r="L22" s="146">
        <v>0</v>
      </c>
      <c r="M22" s="146">
        <v>0</v>
      </c>
      <c r="N22" s="146">
        <v>0</v>
      </c>
      <c r="O22" s="146">
        <v>0</v>
      </c>
      <c r="P22" s="146">
        <v>0</v>
      </c>
      <c r="Q22" s="146">
        <v>0</v>
      </c>
      <c r="R22" s="167">
        <f t="shared" si="2"/>
        <v>0</v>
      </c>
    </row>
    <row r="23" spans="1:18" ht="12">
      <c r="A23" s="7" t="s">
        <v>47</v>
      </c>
      <c r="B23" s="111"/>
      <c r="C23" s="146">
        <v>0</v>
      </c>
      <c r="D23" s="146">
        <v>0</v>
      </c>
      <c r="E23" s="146">
        <v>0</v>
      </c>
      <c r="F23" s="146">
        <v>0</v>
      </c>
      <c r="G23" s="146">
        <v>0</v>
      </c>
      <c r="H23" s="146">
        <v>0</v>
      </c>
      <c r="I23" s="146">
        <v>0</v>
      </c>
      <c r="J23" s="172">
        <f t="shared" si="1"/>
        <v>0</v>
      </c>
      <c r="K23" s="174"/>
      <c r="L23" s="146">
        <v>0</v>
      </c>
      <c r="M23" s="146">
        <v>0</v>
      </c>
      <c r="N23" s="146">
        <v>0</v>
      </c>
      <c r="O23" s="146">
        <v>0</v>
      </c>
      <c r="P23" s="146">
        <v>0</v>
      </c>
      <c r="Q23" s="146">
        <v>0</v>
      </c>
      <c r="R23" s="167">
        <f t="shared" si="2"/>
        <v>0</v>
      </c>
    </row>
    <row r="24" spans="1:18" ht="12">
      <c r="A24" s="7" t="s">
        <v>47</v>
      </c>
      <c r="B24" s="111"/>
      <c r="C24" s="146">
        <v>0</v>
      </c>
      <c r="D24" s="146">
        <v>0</v>
      </c>
      <c r="E24" s="146">
        <v>0</v>
      </c>
      <c r="F24" s="146">
        <v>0</v>
      </c>
      <c r="G24" s="146">
        <v>0</v>
      </c>
      <c r="H24" s="146">
        <v>0</v>
      </c>
      <c r="I24" s="146">
        <v>0</v>
      </c>
      <c r="J24" s="172">
        <f t="shared" si="1"/>
        <v>0</v>
      </c>
      <c r="K24" s="174"/>
      <c r="L24" s="146">
        <v>0</v>
      </c>
      <c r="M24" s="146">
        <v>0</v>
      </c>
      <c r="N24" s="146">
        <v>0</v>
      </c>
      <c r="O24" s="146">
        <v>0</v>
      </c>
      <c r="P24" s="146">
        <v>0</v>
      </c>
      <c r="Q24" s="146">
        <v>0</v>
      </c>
      <c r="R24" s="167">
        <f t="shared" si="2"/>
        <v>0</v>
      </c>
    </row>
    <row r="25" spans="1:18" ht="12">
      <c r="A25" s="7" t="s">
        <v>47</v>
      </c>
      <c r="B25" s="111"/>
      <c r="C25" s="146">
        <v>0</v>
      </c>
      <c r="D25" s="146">
        <v>0</v>
      </c>
      <c r="E25" s="146">
        <v>0</v>
      </c>
      <c r="F25" s="146">
        <v>0</v>
      </c>
      <c r="G25" s="146">
        <v>0</v>
      </c>
      <c r="H25" s="146">
        <v>0</v>
      </c>
      <c r="I25" s="146">
        <v>0</v>
      </c>
      <c r="J25" s="172">
        <f t="shared" si="1"/>
        <v>0</v>
      </c>
      <c r="K25" s="174"/>
      <c r="L25" s="146">
        <v>0</v>
      </c>
      <c r="M25" s="146">
        <v>0</v>
      </c>
      <c r="N25" s="146">
        <v>0</v>
      </c>
      <c r="O25" s="146">
        <v>0</v>
      </c>
      <c r="P25" s="146">
        <v>0</v>
      </c>
      <c r="Q25" s="146">
        <v>0</v>
      </c>
      <c r="R25" s="167">
        <f t="shared" si="2"/>
        <v>0</v>
      </c>
    </row>
    <row r="26" spans="1:18" ht="12">
      <c r="A26" s="7" t="s">
        <v>47</v>
      </c>
      <c r="B26" s="111"/>
      <c r="C26" s="146">
        <v>0</v>
      </c>
      <c r="D26" s="146">
        <v>0</v>
      </c>
      <c r="E26" s="146">
        <v>0</v>
      </c>
      <c r="F26" s="146">
        <v>0</v>
      </c>
      <c r="G26" s="146">
        <v>0</v>
      </c>
      <c r="H26" s="146">
        <v>0</v>
      </c>
      <c r="I26" s="146">
        <v>0</v>
      </c>
      <c r="J26" s="172">
        <f t="shared" si="1"/>
        <v>0</v>
      </c>
      <c r="K26" s="174"/>
      <c r="L26" s="146">
        <v>0</v>
      </c>
      <c r="M26" s="146">
        <v>0</v>
      </c>
      <c r="N26" s="146">
        <v>0</v>
      </c>
      <c r="O26" s="146">
        <v>0</v>
      </c>
      <c r="P26" s="146">
        <v>0</v>
      </c>
      <c r="Q26" s="146">
        <v>0</v>
      </c>
      <c r="R26" s="167">
        <f t="shared" si="2"/>
        <v>0</v>
      </c>
    </row>
    <row r="27" spans="1:18" s="45" customFormat="1" ht="12">
      <c r="A27" s="20" t="s">
        <v>76</v>
      </c>
      <c r="B27" s="111"/>
      <c r="C27" s="151">
        <f>SUM(C20:C26)</f>
        <v>0</v>
      </c>
      <c r="D27" s="151">
        <f aca="true" t="shared" si="3" ref="D27:R27">SUM(D20:D26)</f>
        <v>0</v>
      </c>
      <c r="E27" s="151">
        <f t="shared" si="3"/>
        <v>0</v>
      </c>
      <c r="F27" s="151">
        <f t="shared" si="3"/>
        <v>0</v>
      </c>
      <c r="G27" s="151">
        <f t="shared" si="3"/>
        <v>0</v>
      </c>
      <c r="H27" s="151">
        <f t="shared" si="3"/>
        <v>0</v>
      </c>
      <c r="I27" s="151">
        <f t="shared" si="3"/>
        <v>0</v>
      </c>
      <c r="J27" s="151">
        <f t="shared" si="3"/>
        <v>0</v>
      </c>
      <c r="K27" s="176"/>
      <c r="L27" s="151">
        <f t="shared" si="3"/>
        <v>0</v>
      </c>
      <c r="M27" s="151">
        <f t="shared" si="3"/>
        <v>0</v>
      </c>
      <c r="N27" s="151">
        <f t="shared" si="3"/>
        <v>0</v>
      </c>
      <c r="O27" s="151">
        <f t="shared" si="3"/>
        <v>0</v>
      </c>
      <c r="P27" s="151">
        <f t="shared" si="3"/>
        <v>0</v>
      </c>
      <c r="Q27" s="151">
        <f t="shared" si="3"/>
        <v>0</v>
      </c>
      <c r="R27" s="151">
        <f t="shared" si="3"/>
        <v>0</v>
      </c>
    </row>
    <row r="28" spans="1:18" s="87" customFormat="1" ht="12">
      <c r="A28" s="63"/>
      <c r="B28" s="111"/>
      <c r="C28" s="150"/>
      <c r="D28" s="127"/>
      <c r="E28" s="62"/>
      <c r="F28" s="62"/>
      <c r="G28" s="62"/>
      <c r="H28" s="62"/>
      <c r="I28" s="62"/>
      <c r="J28" s="62"/>
      <c r="K28" s="149"/>
      <c r="L28" s="62"/>
      <c r="M28" s="62"/>
      <c r="N28" s="62"/>
      <c r="O28" s="62"/>
      <c r="P28" s="62"/>
      <c r="Q28" s="62"/>
      <c r="R28" s="121"/>
    </row>
    <row r="29" spans="1:18" ht="12">
      <c r="A29" s="15" t="s">
        <v>78</v>
      </c>
      <c r="B29" s="111"/>
      <c r="C29" s="152"/>
      <c r="D29" s="127"/>
      <c r="E29" s="62"/>
      <c r="F29" s="62"/>
      <c r="G29" s="62"/>
      <c r="H29" s="62"/>
      <c r="I29" s="62"/>
      <c r="J29" s="62"/>
      <c r="K29" s="149"/>
      <c r="L29" s="62"/>
      <c r="M29" s="62"/>
      <c r="N29" s="62"/>
      <c r="O29" s="62"/>
      <c r="P29" s="62"/>
      <c r="Q29" s="62"/>
      <c r="R29" s="121"/>
    </row>
    <row r="30" spans="1:18" s="47" customFormat="1" ht="12">
      <c r="A30" s="79" t="s">
        <v>6</v>
      </c>
      <c r="B30" s="111"/>
      <c r="C30" s="146">
        <v>0</v>
      </c>
      <c r="D30" s="146">
        <v>0</v>
      </c>
      <c r="E30" s="146">
        <v>0</v>
      </c>
      <c r="F30" s="146">
        <v>0</v>
      </c>
      <c r="G30" s="146">
        <v>0</v>
      </c>
      <c r="H30" s="146">
        <v>0</v>
      </c>
      <c r="I30" s="146">
        <v>0</v>
      </c>
      <c r="J30" s="172">
        <f aca="true" t="shared" si="4" ref="J30:J43">SUM(C30:I30)</f>
        <v>0</v>
      </c>
      <c r="K30" s="174"/>
      <c r="L30" s="146">
        <v>0</v>
      </c>
      <c r="M30" s="146">
        <v>0</v>
      </c>
      <c r="N30" s="146">
        <v>0</v>
      </c>
      <c r="O30" s="146">
        <v>0</v>
      </c>
      <c r="P30" s="146">
        <v>0</v>
      </c>
      <c r="Q30" s="146">
        <v>0</v>
      </c>
      <c r="R30" s="167">
        <f aca="true" t="shared" si="5" ref="R30:R43">SUM(L30:Q30)</f>
        <v>0</v>
      </c>
    </row>
    <row r="31" spans="1:18" s="47" customFormat="1" ht="12">
      <c r="A31" s="79" t="s">
        <v>7</v>
      </c>
      <c r="B31" s="111"/>
      <c r="C31" s="146">
        <v>0</v>
      </c>
      <c r="D31" s="146">
        <v>0</v>
      </c>
      <c r="E31" s="146">
        <v>0</v>
      </c>
      <c r="F31" s="146">
        <v>0</v>
      </c>
      <c r="G31" s="146">
        <v>0</v>
      </c>
      <c r="H31" s="146">
        <v>0</v>
      </c>
      <c r="I31" s="146">
        <v>0</v>
      </c>
      <c r="J31" s="172">
        <f t="shared" si="4"/>
        <v>0</v>
      </c>
      <c r="K31" s="174"/>
      <c r="L31" s="146">
        <v>0</v>
      </c>
      <c r="M31" s="146">
        <v>0</v>
      </c>
      <c r="N31" s="146">
        <v>0</v>
      </c>
      <c r="O31" s="146">
        <v>0</v>
      </c>
      <c r="P31" s="146">
        <v>0</v>
      </c>
      <c r="Q31" s="146">
        <v>0</v>
      </c>
      <c r="R31" s="167">
        <f t="shared" si="5"/>
        <v>0</v>
      </c>
    </row>
    <row r="32" spans="1:18" s="47" customFormat="1" ht="12">
      <c r="A32" s="79" t="s">
        <v>8</v>
      </c>
      <c r="B32" s="111"/>
      <c r="C32" s="146">
        <v>0</v>
      </c>
      <c r="D32" s="146">
        <v>0</v>
      </c>
      <c r="E32" s="146">
        <v>0</v>
      </c>
      <c r="F32" s="146">
        <v>0</v>
      </c>
      <c r="G32" s="146">
        <v>0</v>
      </c>
      <c r="H32" s="146">
        <v>0</v>
      </c>
      <c r="I32" s="146">
        <v>0</v>
      </c>
      <c r="J32" s="172">
        <f t="shared" si="4"/>
        <v>0</v>
      </c>
      <c r="K32" s="174"/>
      <c r="L32" s="146">
        <v>0</v>
      </c>
      <c r="M32" s="146">
        <v>0</v>
      </c>
      <c r="N32" s="146">
        <v>0</v>
      </c>
      <c r="O32" s="146">
        <v>0</v>
      </c>
      <c r="P32" s="146">
        <v>0</v>
      </c>
      <c r="Q32" s="146">
        <v>0</v>
      </c>
      <c r="R32" s="167">
        <f t="shared" si="5"/>
        <v>0</v>
      </c>
    </row>
    <row r="33" spans="1:18" ht="12">
      <c r="A33" s="7" t="s">
        <v>9</v>
      </c>
      <c r="B33" s="111"/>
      <c r="C33" s="146">
        <v>0</v>
      </c>
      <c r="D33" s="146">
        <v>0</v>
      </c>
      <c r="E33" s="146">
        <v>0</v>
      </c>
      <c r="F33" s="146">
        <v>0</v>
      </c>
      <c r="G33" s="146">
        <v>0</v>
      </c>
      <c r="H33" s="146">
        <v>0</v>
      </c>
      <c r="I33" s="146">
        <v>0</v>
      </c>
      <c r="J33" s="172">
        <f t="shared" si="4"/>
        <v>0</v>
      </c>
      <c r="K33" s="174"/>
      <c r="L33" s="146">
        <v>0</v>
      </c>
      <c r="M33" s="146">
        <v>0</v>
      </c>
      <c r="N33" s="146">
        <v>0</v>
      </c>
      <c r="O33" s="146">
        <v>0</v>
      </c>
      <c r="P33" s="146">
        <v>0</v>
      </c>
      <c r="Q33" s="146">
        <v>0</v>
      </c>
      <c r="R33" s="167">
        <f t="shared" si="5"/>
        <v>0</v>
      </c>
    </row>
    <row r="34" spans="1:18" ht="12">
      <c r="A34" s="7" t="s">
        <v>10</v>
      </c>
      <c r="B34" s="111"/>
      <c r="C34" s="146">
        <v>0</v>
      </c>
      <c r="D34" s="146">
        <v>0</v>
      </c>
      <c r="E34" s="146">
        <v>0</v>
      </c>
      <c r="F34" s="146">
        <v>0</v>
      </c>
      <c r="G34" s="146">
        <v>0</v>
      </c>
      <c r="H34" s="146">
        <v>0</v>
      </c>
      <c r="I34" s="146">
        <v>0</v>
      </c>
      <c r="J34" s="172">
        <f t="shared" si="4"/>
        <v>0</v>
      </c>
      <c r="K34" s="174"/>
      <c r="L34" s="146">
        <v>0</v>
      </c>
      <c r="M34" s="146">
        <v>0</v>
      </c>
      <c r="N34" s="146">
        <v>0</v>
      </c>
      <c r="O34" s="146">
        <v>0</v>
      </c>
      <c r="P34" s="146">
        <v>0</v>
      </c>
      <c r="Q34" s="146">
        <v>0</v>
      </c>
      <c r="R34" s="167">
        <f t="shared" si="5"/>
        <v>0</v>
      </c>
    </row>
    <row r="35" spans="1:18" ht="12">
      <c r="A35" s="7" t="s">
        <v>11</v>
      </c>
      <c r="B35" s="111"/>
      <c r="C35" s="146">
        <v>0</v>
      </c>
      <c r="D35" s="146">
        <v>0</v>
      </c>
      <c r="E35" s="146">
        <v>0</v>
      </c>
      <c r="F35" s="146">
        <v>0</v>
      </c>
      <c r="G35" s="146">
        <v>0</v>
      </c>
      <c r="H35" s="146">
        <v>0</v>
      </c>
      <c r="I35" s="146">
        <v>0</v>
      </c>
      <c r="J35" s="172">
        <f t="shared" si="4"/>
        <v>0</v>
      </c>
      <c r="K35" s="174"/>
      <c r="L35" s="146">
        <v>0</v>
      </c>
      <c r="M35" s="146">
        <v>0</v>
      </c>
      <c r="N35" s="146">
        <v>0</v>
      </c>
      <c r="O35" s="146">
        <v>0</v>
      </c>
      <c r="P35" s="146">
        <v>0</v>
      </c>
      <c r="Q35" s="146">
        <v>0</v>
      </c>
      <c r="R35" s="167">
        <f t="shared" si="5"/>
        <v>0</v>
      </c>
    </row>
    <row r="36" spans="1:18" ht="12">
      <c r="A36" s="7" t="s">
        <v>44</v>
      </c>
      <c r="B36" s="111"/>
      <c r="C36" s="146">
        <v>0</v>
      </c>
      <c r="D36" s="146">
        <v>0</v>
      </c>
      <c r="E36" s="146">
        <v>0</v>
      </c>
      <c r="F36" s="146">
        <v>0</v>
      </c>
      <c r="G36" s="146">
        <v>0</v>
      </c>
      <c r="H36" s="146">
        <v>0</v>
      </c>
      <c r="I36" s="146">
        <v>0</v>
      </c>
      <c r="J36" s="172">
        <f t="shared" si="4"/>
        <v>0</v>
      </c>
      <c r="K36" s="174"/>
      <c r="L36" s="146">
        <v>0</v>
      </c>
      <c r="M36" s="146">
        <v>0</v>
      </c>
      <c r="N36" s="146">
        <v>0</v>
      </c>
      <c r="O36" s="146">
        <v>0</v>
      </c>
      <c r="P36" s="146">
        <v>0</v>
      </c>
      <c r="Q36" s="146">
        <v>0</v>
      </c>
      <c r="R36" s="167">
        <f t="shared" si="5"/>
        <v>0</v>
      </c>
    </row>
    <row r="37" spans="1:18" ht="12">
      <c r="A37" s="82" t="s">
        <v>12</v>
      </c>
      <c r="B37" s="111"/>
      <c r="C37" s="146">
        <v>0</v>
      </c>
      <c r="D37" s="146">
        <v>0</v>
      </c>
      <c r="E37" s="146">
        <v>0</v>
      </c>
      <c r="F37" s="146">
        <v>0</v>
      </c>
      <c r="G37" s="146">
        <v>0</v>
      </c>
      <c r="H37" s="146">
        <v>0</v>
      </c>
      <c r="I37" s="146">
        <v>0</v>
      </c>
      <c r="J37" s="172">
        <f t="shared" si="4"/>
        <v>0</v>
      </c>
      <c r="K37" s="174"/>
      <c r="L37" s="146">
        <v>0</v>
      </c>
      <c r="M37" s="146">
        <v>0</v>
      </c>
      <c r="N37" s="146">
        <v>0</v>
      </c>
      <c r="O37" s="146">
        <v>0</v>
      </c>
      <c r="P37" s="146">
        <v>0</v>
      </c>
      <c r="Q37" s="146">
        <v>0</v>
      </c>
      <c r="R37" s="167">
        <f t="shared" si="5"/>
        <v>0</v>
      </c>
    </row>
    <row r="38" spans="1:18" ht="12">
      <c r="A38" s="14" t="s">
        <v>66</v>
      </c>
      <c r="B38" s="111"/>
      <c r="C38" s="146">
        <v>0</v>
      </c>
      <c r="D38" s="146">
        <v>0</v>
      </c>
      <c r="E38" s="146">
        <v>0</v>
      </c>
      <c r="F38" s="146">
        <v>0</v>
      </c>
      <c r="G38" s="146">
        <v>0</v>
      </c>
      <c r="H38" s="146">
        <v>0</v>
      </c>
      <c r="I38" s="146">
        <v>0</v>
      </c>
      <c r="J38" s="172">
        <f t="shared" si="4"/>
        <v>0</v>
      </c>
      <c r="K38" s="174"/>
      <c r="L38" s="146">
        <v>0</v>
      </c>
      <c r="M38" s="146">
        <v>0</v>
      </c>
      <c r="N38" s="146">
        <v>0</v>
      </c>
      <c r="O38" s="146">
        <v>0</v>
      </c>
      <c r="P38" s="146">
        <v>0</v>
      </c>
      <c r="Q38" s="146">
        <v>0</v>
      </c>
      <c r="R38" s="167">
        <f t="shared" si="5"/>
        <v>0</v>
      </c>
    </row>
    <row r="39" spans="1:18" ht="12">
      <c r="A39" s="7" t="s">
        <v>47</v>
      </c>
      <c r="B39" s="111"/>
      <c r="C39" s="146">
        <v>0</v>
      </c>
      <c r="D39" s="146">
        <v>0</v>
      </c>
      <c r="E39" s="146">
        <v>0</v>
      </c>
      <c r="F39" s="146">
        <v>0</v>
      </c>
      <c r="G39" s="146">
        <v>0</v>
      </c>
      <c r="H39" s="146">
        <v>0</v>
      </c>
      <c r="I39" s="146">
        <v>0</v>
      </c>
      <c r="J39" s="172">
        <f t="shared" si="4"/>
        <v>0</v>
      </c>
      <c r="K39" s="174"/>
      <c r="L39" s="146">
        <v>0</v>
      </c>
      <c r="M39" s="146">
        <v>0</v>
      </c>
      <c r="N39" s="146">
        <v>0</v>
      </c>
      <c r="O39" s="146">
        <v>0</v>
      </c>
      <c r="P39" s="146">
        <v>0</v>
      </c>
      <c r="Q39" s="146">
        <v>0</v>
      </c>
      <c r="R39" s="167">
        <f t="shared" si="5"/>
        <v>0</v>
      </c>
    </row>
    <row r="40" spans="1:18" ht="12">
      <c r="A40" s="7" t="s">
        <v>47</v>
      </c>
      <c r="B40" s="111"/>
      <c r="C40" s="146">
        <v>0</v>
      </c>
      <c r="D40" s="146">
        <v>0</v>
      </c>
      <c r="E40" s="146">
        <v>0</v>
      </c>
      <c r="F40" s="146">
        <v>0</v>
      </c>
      <c r="G40" s="146">
        <v>0</v>
      </c>
      <c r="H40" s="146">
        <v>0</v>
      </c>
      <c r="I40" s="146">
        <v>0</v>
      </c>
      <c r="J40" s="172">
        <f t="shared" si="4"/>
        <v>0</v>
      </c>
      <c r="K40" s="174"/>
      <c r="L40" s="146">
        <v>0</v>
      </c>
      <c r="M40" s="146">
        <v>0</v>
      </c>
      <c r="N40" s="146">
        <v>0</v>
      </c>
      <c r="O40" s="146">
        <v>0</v>
      </c>
      <c r="P40" s="146">
        <v>0</v>
      </c>
      <c r="Q40" s="146">
        <v>0</v>
      </c>
      <c r="R40" s="167">
        <f t="shared" si="5"/>
        <v>0</v>
      </c>
    </row>
    <row r="41" spans="1:18" ht="12">
      <c r="A41" s="7" t="s">
        <v>47</v>
      </c>
      <c r="B41" s="111"/>
      <c r="C41" s="146">
        <v>0</v>
      </c>
      <c r="D41" s="146">
        <v>0</v>
      </c>
      <c r="E41" s="146">
        <v>0</v>
      </c>
      <c r="F41" s="146">
        <v>0</v>
      </c>
      <c r="G41" s="146">
        <v>0</v>
      </c>
      <c r="H41" s="146">
        <v>0</v>
      </c>
      <c r="I41" s="146">
        <v>0</v>
      </c>
      <c r="J41" s="172">
        <f t="shared" si="4"/>
        <v>0</v>
      </c>
      <c r="K41" s="174"/>
      <c r="L41" s="146">
        <v>0</v>
      </c>
      <c r="M41" s="146">
        <v>0</v>
      </c>
      <c r="N41" s="146">
        <v>0</v>
      </c>
      <c r="O41" s="146">
        <v>0</v>
      </c>
      <c r="P41" s="146">
        <v>0</v>
      </c>
      <c r="Q41" s="146">
        <v>0</v>
      </c>
      <c r="R41" s="167">
        <f t="shared" si="5"/>
        <v>0</v>
      </c>
    </row>
    <row r="42" spans="1:18" ht="12">
      <c r="A42" s="7" t="s">
        <v>47</v>
      </c>
      <c r="B42" s="111"/>
      <c r="C42" s="146">
        <v>0</v>
      </c>
      <c r="D42" s="146">
        <v>0</v>
      </c>
      <c r="E42" s="146">
        <v>0</v>
      </c>
      <c r="F42" s="146">
        <v>0</v>
      </c>
      <c r="G42" s="146">
        <v>0</v>
      </c>
      <c r="H42" s="146">
        <v>0</v>
      </c>
      <c r="I42" s="146">
        <v>0</v>
      </c>
      <c r="J42" s="172">
        <f t="shared" si="4"/>
        <v>0</v>
      </c>
      <c r="K42" s="174"/>
      <c r="L42" s="146">
        <v>0</v>
      </c>
      <c r="M42" s="146">
        <v>0</v>
      </c>
      <c r="N42" s="146">
        <v>0</v>
      </c>
      <c r="O42" s="146">
        <v>0</v>
      </c>
      <c r="P42" s="146">
        <v>0</v>
      </c>
      <c r="Q42" s="146">
        <v>0</v>
      </c>
      <c r="R42" s="167">
        <f t="shared" si="5"/>
        <v>0</v>
      </c>
    </row>
    <row r="43" spans="1:18" ht="12">
      <c r="A43" s="7" t="s">
        <v>47</v>
      </c>
      <c r="B43" s="111"/>
      <c r="C43" s="146">
        <v>0</v>
      </c>
      <c r="D43" s="146">
        <v>0</v>
      </c>
      <c r="E43" s="146">
        <v>0</v>
      </c>
      <c r="F43" s="146">
        <v>0</v>
      </c>
      <c r="G43" s="146">
        <v>0</v>
      </c>
      <c r="H43" s="146">
        <v>0</v>
      </c>
      <c r="I43" s="146">
        <v>0</v>
      </c>
      <c r="J43" s="172">
        <f t="shared" si="4"/>
        <v>0</v>
      </c>
      <c r="K43" s="174"/>
      <c r="L43" s="146">
        <v>0</v>
      </c>
      <c r="M43" s="146">
        <v>0</v>
      </c>
      <c r="N43" s="146">
        <v>0</v>
      </c>
      <c r="O43" s="146">
        <v>0</v>
      </c>
      <c r="P43" s="146">
        <v>0</v>
      </c>
      <c r="Q43" s="146">
        <v>0</v>
      </c>
      <c r="R43" s="167">
        <f t="shared" si="5"/>
        <v>0</v>
      </c>
    </row>
    <row r="44" spans="1:18" s="45" customFormat="1" ht="12">
      <c r="A44" s="20" t="s">
        <v>79</v>
      </c>
      <c r="B44" s="111"/>
      <c r="C44" s="151">
        <f>SUM(C30:C43)</f>
        <v>0</v>
      </c>
      <c r="D44" s="151">
        <f aca="true" t="shared" si="6" ref="D44:R44">SUM(D30:D43)</f>
        <v>0</v>
      </c>
      <c r="E44" s="151">
        <f t="shared" si="6"/>
        <v>0</v>
      </c>
      <c r="F44" s="151">
        <f t="shared" si="6"/>
        <v>0</v>
      </c>
      <c r="G44" s="151">
        <f t="shared" si="6"/>
        <v>0</v>
      </c>
      <c r="H44" s="151">
        <f t="shared" si="6"/>
        <v>0</v>
      </c>
      <c r="I44" s="151">
        <f t="shared" si="6"/>
        <v>0</v>
      </c>
      <c r="J44" s="151">
        <f t="shared" si="6"/>
        <v>0</v>
      </c>
      <c r="K44" s="176"/>
      <c r="L44" s="151">
        <f t="shared" si="6"/>
        <v>0</v>
      </c>
      <c r="M44" s="151">
        <f t="shared" si="6"/>
        <v>0</v>
      </c>
      <c r="N44" s="151">
        <f t="shared" si="6"/>
        <v>0</v>
      </c>
      <c r="O44" s="151">
        <f t="shared" si="6"/>
        <v>0</v>
      </c>
      <c r="P44" s="151">
        <f t="shared" si="6"/>
        <v>0</v>
      </c>
      <c r="Q44" s="151">
        <f t="shared" si="6"/>
        <v>0</v>
      </c>
      <c r="R44" s="151">
        <f t="shared" si="6"/>
        <v>0</v>
      </c>
    </row>
    <row r="45" spans="1:18" s="87" customFormat="1" ht="12">
      <c r="A45" s="63"/>
      <c r="B45" s="111"/>
      <c r="C45" s="150"/>
      <c r="D45" s="127"/>
      <c r="E45" s="62"/>
      <c r="F45" s="62"/>
      <c r="G45" s="62"/>
      <c r="H45" s="62"/>
      <c r="I45" s="62"/>
      <c r="J45" s="62"/>
      <c r="K45" s="149"/>
      <c r="L45" s="62"/>
      <c r="M45" s="62"/>
      <c r="N45" s="62"/>
      <c r="O45" s="62"/>
      <c r="P45" s="62"/>
      <c r="Q45" s="62"/>
      <c r="R45" s="121"/>
    </row>
    <row r="46" spans="1:18" ht="12">
      <c r="A46" s="15" t="s">
        <v>45</v>
      </c>
      <c r="B46" s="111"/>
      <c r="C46" s="152"/>
      <c r="D46" s="127"/>
      <c r="E46" s="62"/>
      <c r="F46" s="62"/>
      <c r="G46" s="62"/>
      <c r="H46" s="62"/>
      <c r="I46" s="62"/>
      <c r="J46" s="62"/>
      <c r="K46" s="149"/>
      <c r="L46" s="62"/>
      <c r="M46" s="62"/>
      <c r="N46" s="62"/>
      <c r="O46" s="62"/>
      <c r="P46" s="62"/>
      <c r="Q46" s="62"/>
      <c r="R46" s="121"/>
    </row>
    <row r="47" spans="1:18" ht="12">
      <c r="A47" s="7" t="s">
        <v>19</v>
      </c>
      <c r="B47" s="111"/>
      <c r="C47" s="146">
        <v>0</v>
      </c>
      <c r="D47" s="146">
        <v>0</v>
      </c>
      <c r="E47" s="146">
        <v>0</v>
      </c>
      <c r="F47" s="146">
        <v>0</v>
      </c>
      <c r="G47" s="146">
        <v>0</v>
      </c>
      <c r="H47" s="146">
        <v>0</v>
      </c>
      <c r="I47" s="146">
        <v>0</v>
      </c>
      <c r="J47" s="172">
        <f aca="true" t="shared" si="7" ref="J47:J55">SUM(C47:I47)</f>
        <v>0</v>
      </c>
      <c r="K47" s="174"/>
      <c r="L47" s="146">
        <v>0</v>
      </c>
      <c r="M47" s="146">
        <v>0</v>
      </c>
      <c r="N47" s="146">
        <v>0</v>
      </c>
      <c r="O47" s="146">
        <v>0</v>
      </c>
      <c r="P47" s="146">
        <v>0</v>
      </c>
      <c r="Q47" s="146">
        <v>0</v>
      </c>
      <c r="R47" s="167">
        <f aca="true" t="shared" si="8" ref="R47:R55">SUM(L47:Q47)</f>
        <v>0</v>
      </c>
    </row>
    <row r="48" spans="1:18" ht="12">
      <c r="A48" s="7" t="s">
        <v>20</v>
      </c>
      <c r="B48" s="111"/>
      <c r="C48" s="146">
        <v>0</v>
      </c>
      <c r="D48" s="146">
        <v>0</v>
      </c>
      <c r="E48" s="146">
        <v>0</v>
      </c>
      <c r="F48" s="146">
        <v>0</v>
      </c>
      <c r="G48" s="146">
        <v>0</v>
      </c>
      <c r="H48" s="146">
        <v>0</v>
      </c>
      <c r="I48" s="146">
        <v>0</v>
      </c>
      <c r="J48" s="172">
        <f t="shared" si="7"/>
        <v>0</v>
      </c>
      <c r="K48" s="174"/>
      <c r="L48" s="146">
        <v>0</v>
      </c>
      <c r="M48" s="146">
        <v>0</v>
      </c>
      <c r="N48" s="146">
        <v>0</v>
      </c>
      <c r="O48" s="146">
        <v>0</v>
      </c>
      <c r="P48" s="146">
        <v>0</v>
      </c>
      <c r="Q48" s="146">
        <v>0</v>
      </c>
      <c r="R48" s="167">
        <f t="shared" si="8"/>
        <v>0</v>
      </c>
    </row>
    <row r="49" spans="1:18" ht="12">
      <c r="A49" s="14" t="s">
        <v>21</v>
      </c>
      <c r="B49" s="111"/>
      <c r="C49" s="146">
        <v>0</v>
      </c>
      <c r="D49" s="146">
        <v>0</v>
      </c>
      <c r="E49" s="146">
        <v>0</v>
      </c>
      <c r="F49" s="146">
        <v>0</v>
      </c>
      <c r="G49" s="146">
        <v>0</v>
      </c>
      <c r="H49" s="146">
        <v>0</v>
      </c>
      <c r="I49" s="146">
        <v>0</v>
      </c>
      <c r="J49" s="172">
        <f t="shared" si="7"/>
        <v>0</v>
      </c>
      <c r="K49" s="174"/>
      <c r="L49" s="146">
        <v>0</v>
      </c>
      <c r="M49" s="146">
        <v>0</v>
      </c>
      <c r="N49" s="146">
        <v>0</v>
      </c>
      <c r="O49" s="146">
        <v>0</v>
      </c>
      <c r="P49" s="146">
        <v>0</v>
      </c>
      <c r="Q49" s="146">
        <v>0</v>
      </c>
      <c r="R49" s="167">
        <f t="shared" si="8"/>
        <v>0</v>
      </c>
    </row>
    <row r="50" spans="1:18" ht="12">
      <c r="A50" s="7" t="s">
        <v>22</v>
      </c>
      <c r="B50" s="111"/>
      <c r="C50" s="146">
        <v>0</v>
      </c>
      <c r="D50" s="146">
        <v>0</v>
      </c>
      <c r="E50" s="146">
        <v>0</v>
      </c>
      <c r="F50" s="146">
        <v>0</v>
      </c>
      <c r="G50" s="146">
        <v>0</v>
      </c>
      <c r="H50" s="146">
        <v>0</v>
      </c>
      <c r="I50" s="146">
        <v>0</v>
      </c>
      <c r="J50" s="172">
        <f t="shared" si="7"/>
        <v>0</v>
      </c>
      <c r="K50" s="174"/>
      <c r="L50" s="146">
        <v>0</v>
      </c>
      <c r="M50" s="146">
        <v>0</v>
      </c>
      <c r="N50" s="146">
        <v>0</v>
      </c>
      <c r="O50" s="146">
        <v>0</v>
      </c>
      <c r="P50" s="146">
        <v>0</v>
      </c>
      <c r="Q50" s="146">
        <v>0</v>
      </c>
      <c r="R50" s="167">
        <f t="shared" si="8"/>
        <v>0</v>
      </c>
    </row>
    <row r="51" spans="1:18" ht="12">
      <c r="A51" s="7" t="s">
        <v>47</v>
      </c>
      <c r="B51" s="111"/>
      <c r="C51" s="146">
        <v>0</v>
      </c>
      <c r="D51" s="146">
        <v>0</v>
      </c>
      <c r="E51" s="146">
        <v>0</v>
      </c>
      <c r="F51" s="146">
        <v>0</v>
      </c>
      <c r="G51" s="146">
        <v>0</v>
      </c>
      <c r="H51" s="146">
        <v>0</v>
      </c>
      <c r="I51" s="146">
        <v>0</v>
      </c>
      <c r="J51" s="172">
        <f t="shared" si="7"/>
        <v>0</v>
      </c>
      <c r="K51" s="174"/>
      <c r="L51" s="146">
        <v>0</v>
      </c>
      <c r="M51" s="146">
        <v>0</v>
      </c>
      <c r="N51" s="146">
        <v>0</v>
      </c>
      <c r="O51" s="146">
        <v>0</v>
      </c>
      <c r="P51" s="146">
        <v>0</v>
      </c>
      <c r="Q51" s="146">
        <v>0</v>
      </c>
      <c r="R51" s="167">
        <f t="shared" si="8"/>
        <v>0</v>
      </c>
    </row>
    <row r="52" spans="1:18" ht="12">
      <c r="A52" s="7" t="s">
        <v>47</v>
      </c>
      <c r="B52" s="111"/>
      <c r="C52" s="146">
        <v>0</v>
      </c>
      <c r="D52" s="146">
        <v>0</v>
      </c>
      <c r="E52" s="146">
        <v>0</v>
      </c>
      <c r="F52" s="146">
        <v>0</v>
      </c>
      <c r="G52" s="146">
        <v>0</v>
      </c>
      <c r="H52" s="146">
        <v>0</v>
      </c>
      <c r="I52" s="146">
        <v>0</v>
      </c>
      <c r="J52" s="172">
        <f t="shared" si="7"/>
        <v>0</v>
      </c>
      <c r="K52" s="174"/>
      <c r="L52" s="146">
        <v>0</v>
      </c>
      <c r="M52" s="146">
        <v>0</v>
      </c>
      <c r="N52" s="146">
        <v>0</v>
      </c>
      <c r="O52" s="146">
        <v>0</v>
      </c>
      <c r="P52" s="146">
        <v>0</v>
      </c>
      <c r="Q52" s="146">
        <v>0</v>
      </c>
      <c r="R52" s="167">
        <f t="shared" si="8"/>
        <v>0</v>
      </c>
    </row>
    <row r="53" spans="1:18" ht="12">
      <c r="A53" s="7" t="s">
        <v>47</v>
      </c>
      <c r="B53" s="111"/>
      <c r="C53" s="146">
        <v>0</v>
      </c>
      <c r="D53" s="146">
        <v>0</v>
      </c>
      <c r="E53" s="146">
        <v>0</v>
      </c>
      <c r="F53" s="146">
        <v>0</v>
      </c>
      <c r="G53" s="146">
        <v>0</v>
      </c>
      <c r="H53" s="146">
        <v>0</v>
      </c>
      <c r="I53" s="146">
        <v>0</v>
      </c>
      <c r="J53" s="172">
        <f t="shared" si="7"/>
        <v>0</v>
      </c>
      <c r="K53" s="174"/>
      <c r="L53" s="146">
        <v>0</v>
      </c>
      <c r="M53" s="146">
        <v>0</v>
      </c>
      <c r="N53" s="146">
        <v>0</v>
      </c>
      <c r="O53" s="146">
        <v>0</v>
      </c>
      <c r="P53" s="146">
        <v>0</v>
      </c>
      <c r="Q53" s="146">
        <v>0</v>
      </c>
      <c r="R53" s="167">
        <f t="shared" si="8"/>
        <v>0</v>
      </c>
    </row>
    <row r="54" spans="1:18" ht="12">
      <c r="A54" s="7" t="s">
        <v>47</v>
      </c>
      <c r="B54" s="111"/>
      <c r="C54" s="146">
        <v>0</v>
      </c>
      <c r="D54" s="146">
        <v>0</v>
      </c>
      <c r="E54" s="146">
        <v>0</v>
      </c>
      <c r="F54" s="146">
        <v>0</v>
      </c>
      <c r="G54" s="146">
        <v>0</v>
      </c>
      <c r="H54" s="146">
        <v>0</v>
      </c>
      <c r="I54" s="146">
        <v>0</v>
      </c>
      <c r="J54" s="172">
        <f t="shared" si="7"/>
        <v>0</v>
      </c>
      <c r="K54" s="174"/>
      <c r="L54" s="146">
        <v>0</v>
      </c>
      <c r="M54" s="146">
        <v>0</v>
      </c>
      <c r="N54" s="146">
        <v>0</v>
      </c>
      <c r="O54" s="146">
        <v>0</v>
      </c>
      <c r="P54" s="146">
        <v>0</v>
      </c>
      <c r="Q54" s="146">
        <v>0</v>
      </c>
      <c r="R54" s="167">
        <f t="shared" si="8"/>
        <v>0</v>
      </c>
    </row>
    <row r="55" spans="1:18" ht="12">
      <c r="A55" s="7" t="s">
        <v>47</v>
      </c>
      <c r="B55" s="111"/>
      <c r="C55" s="146">
        <v>0</v>
      </c>
      <c r="D55" s="146">
        <v>0</v>
      </c>
      <c r="E55" s="146">
        <v>0</v>
      </c>
      <c r="F55" s="146">
        <v>0</v>
      </c>
      <c r="G55" s="146">
        <v>0</v>
      </c>
      <c r="H55" s="146">
        <v>0</v>
      </c>
      <c r="I55" s="146">
        <v>0</v>
      </c>
      <c r="J55" s="172">
        <f t="shared" si="7"/>
        <v>0</v>
      </c>
      <c r="K55" s="174"/>
      <c r="L55" s="146">
        <v>0</v>
      </c>
      <c r="M55" s="146">
        <v>0</v>
      </c>
      <c r="N55" s="146">
        <v>0</v>
      </c>
      <c r="O55" s="146">
        <v>0</v>
      </c>
      <c r="P55" s="146">
        <v>0</v>
      </c>
      <c r="Q55" s="146">
        <v>0</v>
      </c>
      <c r="R55" s="167">
        <f t="shared" si="8"/>
        <v>0</v>
      </c>
    </row>
    <row r="56" spans="1:18" s="45" customFormat="1" ht="12">
      <c r="A56" s="20" t="s">
        <v>80</v>
      </c>
      <c r="B56" s="111"/>
      <c r="C56" s="151">
        <f>SUM(C47:C55)</f>
        <v>0</v>
      </c>
      <c r="D56" s="151">
        <f aca="true" t="shared" si="9" ref="D56:R56">SUM(D47:D55)</f>
        <v>0</v>
      </c>
      <c r="E56" s="151">
        <f t="shared" si="9"/>
        <v>0</v>
      </c>
      <c r="F56" s="151">
        <f t="shared" si="9"/>
        <v>0</v>
      </c>
      <c r="G56" s="151">
        <f t="shared" si="9"/>
        <v>0</v>
      </c>
      <c r="H56" s="151">
        <f t="shared" si="9"/>
        <v>0</v>
      </c>
      <c r="I56" s="151">
        <f t="shared" si="9"/>
        <v>0</v>
      </c>
      <c r="J56" s="151">
        <f t="shared" si="9"/>
        <v>0</v>
      </c>
      <c r="K56" s="176"/>
      <c r="L56" s="151">
        <f t="shared" si="9"/>
        <v>0</v>
      </c>
      <c r="M56" s="151">
        <f t="shared" si="9"/>
        <v>0</v>
      </c>
      <c r="N56" s="151">
        <f t="shared" si="9"/>
        <v>0</v>
      </c>
      <c r="O56" s="151">
        <f t="shared" si="9"/>
        <v>0</v>
      </c>
      <c r="P56" s="151">
        <f t="shared" si="9"/>
        <v>0</v>
      </c>
      <c r="Q56" s="151">
        <f t="shared" si="9"/>
        <v>0</v>
      </c>
      <c r="R56" s="151">
        <f t="shared" si="9"/>
        <v>0</v>
      </c>
    </row>
    <row r="57" spans="1:18" s="45" customFormat="1" ht="12">
      <c r="A57" s="20"/>
      <c r="B57" s="111"/>
      <c r="C57" s="150"/>
      <c r="D57" s="127"/>
      <c r="E57" s="62"/>
      <c r="F57" s="62"/>
      <c r="G57" s="62"/>
      <c r="H57" s="62"/>
      <c r="I57" s="62"/>
      <c r="J57" s="62"/>
      <c r="K57" s="149"/>
      <c r="L57" s="62"/>
      <c r="M57" s="62"/>
      <c r="N57" s="62"/>
      <c r="O57" s="62"/>
      <c r="P57" s="62"/>
      <c r="Q57" s="62"/>
      <c r="R57" s="121"/>
    </row>
    <row r="58" spans="1:18" ht="12">
      <c r="A58" s="15" t="s">
        <v>54</v>
      </c>
      <c r="B58" s="111"/>
      <c r="C58" s="152"/>
      <c r="D58" s="127"/>
      <c r="E58" s="62"/>
      <c r="F58" s="62"/>
      <c r="G58" s="62"/>
      <c r="H58" s="62"/>
      <c r="I58" s="62"/>
      <c r="J58" s="62"/>
      <c r="K58" s="149"/>
      <c r="L58" s="62"/>
      <c r="M58" s="62"/>
      <c r="N58" s="62"/>
      <c r="O58" s="62"/>
      <c r="P58" s="62"/>
      <c r="Q58" s="62"/>
      <c r="R58" s="121"/>
    </row>
    <row r="59" spans="1:18" ht="12">
      <c r="A59" s="14" t="s">
        <v>55</v>
      </c>
      <c r="B59" s="111"/>
      <c r="C59" s="146">
        <v>0</v>
      </c>
      <c r="D59" s="146">
        <v>0</v>
      </c>
      <c r="E59" s="146">
        <v>0</v>
      </c>
      <c r="F59" s="146">
        <v>0</v>
      </c>
      <c r="G59" s="146">
        <v>0</v>
      </c>
      <c r="H59" s="146">
        <v>0</v>
      </c>
      <c r="I59" s="146">
        <v>0</v>
      </c>
      <c r="J59" s="172">
        <f aca="true" t="shared" si="10" ref="J59:J66">SUM(C59:I59)</f>
        <v>0</v>
      </c>
      <c r="K59" s="174"/>
      <c r="L59" s="146">
        <v>0</v>
      </c>
      <c r="M59" s="146">
        <v>0</v>
      </c>
      <c r="N59" s="146">
        <v>0</v>
      </c>
      <c r="O59" s="146">
        <v>0</v>
      </c>
      <c r="P59" s="146">
        <v>0</v>
      </c>
      <c r="Q59" s="146">
        <v>0</v>
      </c>
      <c r="R59" s="167">
        <f aca="true" t="shared" si="11" ref="R59:R66">SUM(L59:Q59)</f>
        <v>0</v>
      </c>
    </row>
    <row r="60" spans="1:18" ht="12">
      <c r="A60" s="14" t="s">
        <v>13</v>
      </c>
      <c r="B60" s="111"/>
      <c r="C60" s="146">
        <v>0</v>
      </c>
      <c r="D60" s="146">
        <v>0</v>
      </c>
      <c r="E60" s="146">
        <v>0</v>
      </c>
      <c r="F60" s="146">
        <v>0</v>
      </c>
      <c r="G60" s="146">
        <v>0</v>
      </c>
      <c r="H60" s="146">
        <v>0</v>
      </c>
      <c r="I60" s="146">
        <v>0</v>
      </c>
      <c r="J60" s="172">
        <f t="shared" si="10"/>
        <v>0</v>
      </c>
      <c r="K60" s="174"/>
      <c r="L60" s="146">
        <v>0</v>
      </c>
      <c r="M60" s="146">
        <v>0</v>
      </c>
      <c r="N60" s="146">
        <v>0</v>
      </c>
      <c r="O60" s="146">
        <v>0</v>
      </c>
      <c r="P60" s="146">
        <v>0</v>
      </c>
      <c r="Q60" s="146">
        <v>0</v>
      </c>
      <c r="R60" s="167">
        <f t="shared" si="11"/>
        <v>0</v>
      </c>
    </row>
    <row r="61" spans="1:18" ht="12">
      <c r="A61" s="14" t="s">
        <v>14</v>
      </c>
      <c r="B61" s="111"/>
      <c r="C61" s="146">
        <v>0</v>
      </c>
      <c r="D61" s="146">
        <v>0</v>
      </c>
      <c r="E61" s="146">
        <v>0</v>
      </c>
      <c r="F61" s="146">
        <v>0</v>
      </c>
      <c r="G61" s="146">
        <v>0</v>
      </c>
      <c r="H61" s="146">
        <v>0</v>
      </c>
      <c r="I61" s="146">
        <v>0</v>
      </c>
      <c r="J61" s="172">
        <f t="shared" si="10"/>
        <v>0</v>
      </c>
      <c r="K61" s="174"/>
      <c r="L61" s="146">
        <v>0</v>
      </c>
      <c r="M61" s="146">
        <v>0</v>
      </c>
      <c r="N61" s="146">
        <v>0</v>
      </c>
      <c r="O61" s="146">
        <v>0</v>
      </c>
      <c r="P61" s="146">
        <v>0</v>
      </c>
      <c r="Q61" s="146">
        <v>0</v>
      </c>
      <c r="R61" s="167">
        <f t="shared" si="11"/>
        <v>0</v>
      </c>
    </row>
    <row r="62" spans="1:18" ht="12">
      <c r="A62" s="7" t="s">
        <v>47</v>
      </c>
      <c r="B62" s="111"/>
      <c r="C62" s="146">
        <v>0</v>
      </c>
      <c r="D62" s="146">
        <v>0</v>
      </c>
      <c r="E62" s="146">
        <v>0</v>
      </c>
      <c r="F62" s="146">
        <v>0</v>
      </c>
      <c r="G62" s="146">
        <v>0</v>
      </c>
      <c r="H62" s="146">
        <v>0</v>
      </c>
      <c r="I62" s="146">
        <v>0</v>
      </c>
      <c r="J62" s="172">
        <f t="shared" si="10"/>
        <v>0</v>
      </c>
      <c r="K62" s="174"/>
      <c r="L62" s="146">
        <v>0</v>
      </c>
      <c r="M62" s="146">
        <v>0</v>
      </c>
      <c r="N62" s="146">
        <v>0</v>
      </c>
      <c r="O62" s="146">
        <v>0</v>
      </c>
      <c r="P62" s="146">
        <v>0</v>
      </c>
      <c r="Q62" s="146">
        <v>0</v>
      </c>
      <c r="R62" s="167">
        <f t="shared" si="11"/>
        <v>0</v>
      </c>
    </row>
    <row r="63" spans="1:18" ht="12">
      <c r="A63" s="7" t="s">
        <v>47</v>
      </c>
      <c r="B63" s="111"/>
      <c r="C63" s="146">
        <v>0</v>
      </c>
      <c r="D63" s="146">
        <v>0</v>
      </c>
      <c r="E63" s="146">
        <v>0</v>
      </c>
      <c r="F63" s="146">
        <v>0</v>
      </c>
      <c r="G63" s="146">
        <v>0</v>
      </c>
      <c r="H63" s="146">
        <v>0</v>
      </c>
      <c r="I63" s="146">
        <v>0</v>
      </c>
      <c r="J63" s="172">
        <f t="shared" si="10"/>
        <v>0</v>
      </c>
      <c r="K63" s="174"/>
      <c r="L63" s="146">
        <v>0</v>
      </c>
      <c r="M63" s="146">
        <v>0</v>
      </c>
      <c r="N63" s="146">
        <v>0</v>
      </c>
      <c r="O63" s="146">
        <v>0</v>
      </c>
      <c r="P63" s="146">
        <v>0</v>
      </c>
      <c r="Q63" s="146">
        <v>0</v>
      </c>
      <c r="R63" s="167">
        <f t="shared" si="11"/>
        <v>0</v>
      </c>
    </row>
    <row r="64" spans="1:18" ht="12">
      <c r="A64" s="7" t="s">
        <v>47</v>
      </c>
      <c r="B64" s="111"/>
      <c r="C64" s="146">
        <v>0</v>
      </c>
      <c r="D64" s="146">
        <v>0</v>
      </c>
      <c r="E64" s="146">
        <v>0</v>
      </c>
      <c r="F64" s="146">
        <v>0</v>
      </c>
      <c r="G64" s="146">
        <v>0</v>
      </c>
      <c r="H64" s="146">
        <v>0</v>
      </c>
      <c r="I64" s="146">
        <v>0</v>
      </c>
      <c r="J64" s="172">
        <f t="shared" si="10"/>
        <v>0</v>
      </c>
      <c r="K64" s="174"/>
      <c r="L64" s="146">
        <v>0</v>
      </c>
      <c r="M64" s="146">
        <v>0</v>
      </c>
      <c r="N64" s="146">
        <v>0</v>
      </c>
      <c r="O64" s="146">
        <v>0</v>
      </c>
      <c r="P64" s="146">
        <v>0</v>
      </c>
      <c r="Q64" s="146">
        <v>0</v>
      </c>
      <c r="R64" s="167">
        <f t="shared" si="11"/>
        <v>0</v>
      </c>
    </row>
    <row r="65" spans="1:18" ht="12">
      <c r="A65" s="7" t="s">
        <v>47</v>
      </c>
      <c r="B65" s="111"/>
      <c r="C65" s="146">
        <v>0</v>
      </c>
      <c r="D65" s="146">
        <v>0</v>
      </c>
      <c r="E65" s="146">
        <v>0</v>
      </c>
      <c r="F65" s="146">
        <v>0</v>
      </c>
      <c r="G65" s="146">
        <v>0</v>
      </c>
      <c r="H65" s="146">
        <v>0</v>
      </c>
      <c r="I65" s="146">
        <v>0</v>
      </c>
      <c r="J65" s="172">
        <f t="shared" si="10"/>
        <v>0</v>
      </c>
      <c r="K65" s="174"/>
      <c r="L65" s="146">
        <v>0</v>
      </c>
      <c r="M65" s="146">
        <v>0</v>
      </c>
      <c r="N65" s="146">
        <v>0</v>
      </c>
      <c r="O65" s="146">
        <v>0</v>
      </c>
      <c r="P65" s="146">
        <v>0</v>
      </c>
      <c r="Q65" s="146">
        <v>0</v>
      </c>
      <c r="R65" s="167">
        <f t="shared" si="11"/>
        <v>0</v>
      </c>
    </row>
    <row r="66" spans="1:18" ht="12">
      <c r="A66" s="7" t="s">
        <v>47</v>
      </c>
      <c r="B66" s="111"/>
      <c r="C66" s="146">
        <v>0</v>
      </c>
      <c r="D66" s="146">
        <v>0</v>
      </c>
      <c r="E66" s="146">
        <v>0</v>
      </c>
      <c r="F66" s="146">
        <v>0</v>
      </c>
      <c r="G66" s="146">
        <v>0</v>
      </c>
      <c r="H66" s="146">
        <v>0</v>
      </c>
      <c r="I66" s="146">
        <v>0</v>
      </c>
      <c r="J66" s="172">
        <f t="shared" si="10"/>
        <v>0</v>
      </c>
      <c r="K66" s="174"/>
      <c r="L66" s="146">
        <v>0</v>
      </c>
      <c r="M66" s="146">
        <v>0</v>
      </c>
      <c r="N66" s="146">
        <v>0</v>
      </c>
      <c r="O66" s="146">
        <v>0</v>
      </c>
      <c r="P66" s="146">
        <v>0</v>
      </c>
      <c r="Q66" s="146">
        <v>0</v>
      </c>
      <c r="R66" s="167">
        <f t="shared" si="11"/>
        <v>0</v>
      </c>
    </row>
    <row r="67" spans="1:18" s="45" customFormat="1" ht="12">
      <c r="A67" s="20" t="s">
        <v>81</v>
      </c>
      <c r="B67" s="111"/>
      <c r="C67" s="151">
        <f>SUM(C59:C66)</f>
        <v>0</v>
      </c>
      <c r="D67" s="151">
        <f aca="true" t="shared" si="12" ref="D67:R67">SUM(D59:D66)</f>
        <v>0</v>
      </c>
      <c r="E67" s="151">
        <f t="shared" si="12"/>
        <v>0</v>
      </c>
      <c r="F67" s="151">
        <f t="shared" si="12"/>
        <v>0</v>
      </c>
      <c r="G67" s="151">
        <f t="shared" si="12"/>
        <v>0</v>
      </c>
      <c r="H67" s="151">
        <f t="shared" si="12"/>
        <v>0</v>
      </c>
      <c r="I67" s="151">
        <f t="shared" si="12"/>
        <v>0</v>
      </c>
      <c r="J67" s="151">
        <f t="shared" si="12"/>
        <v>0</v>
      </c>
      <c r="K67" s="176"/>
      <c r="L67" s="151">
        <f t="shared" si="12"/>
        <v>0</v>
      </c>
      <c r="M67" s="151">
        <f t="shared" si="12"/>
        <v>0</v>
      </c>
      <c r="N67" s="151">
        <f t="shared" si="12"/>
        <v>0</v>
      </c>
      <c r="O67" s="151">
        <f t="shared" si="12"/>
        <v>0</v>
      </c>
      <c r="P67" s="151">
        <f t="shared" si="12"/>
        <v>0</v>
      </c>
      <c r="Q67" s="151">
        <f t="shared" si="12"/>
        <v>0</v>
      </c>
      <c r="R67" s="151">
        <f t="shared" si="12"/>
        <v>0</v>
      </c>
    </row>
    <row r="68" spans="1:18" s="45" customFormat="1" ht="12">
      <c r="A68" s="20"/>
      <c r="B68" s="111"/>
      <c r="C68" s="150"/>
      <c r="D68" s="127"/>
      <c r="E68" s="62"/>
      <c r="F68" s="62"/>
      <c r="G68" s="62"/>
      <c r="H68" s="62"/>
      <c r="I68" s="62"/>
      <c r="J68" s="62"/>
      <c r="K68" s="149"/>
      <c r="L68" s="62"/>
      <c r="M68" s="62"/>
      <c r="N68" s="62"/>
      <c r="O68" s="62"/>
      <c r="P68" s="62"/>
      <c r="Q68" s="62"/>
      <c r="R68" s="121"/>
    </row>
    <row r="69" spans="1:18" ht="12">
      <c r="A69" s="15" t="s">
        <v>46</v>
      </c>
      <c r="B69" s="111"/>
      <c r="C69" s="152"/>
      <c r="D69" s="127"/>
      <c r="E69" s="62"/>
      <c r="F69" s="62"/>
      <c r="G69" s="62"/>
      <c r="H69" s="62"/>
      <c r="I69" s="62"/>
      <c r="J69" s="62"/>
      <c r="K69" s="149"/>
      <c r="L69" s="62"/>
      <c r="M69" s="62"/>
      <c r="N69" s="62"/>
      <c r="O69" s="62"/>
      <c r="P69" s="62"/>
      <c r="Q69" s="62"/>
      <c r="R69" s="121"/>
    </row>
    <row r="70" spans="1:18" ht="12">
      <c r="A70" s="14" t="s">
        <v>15</v>
      </c>
      <c r="B70" s="111"/>
      <c r="C70" s="146">
        <v>0</v>
      </c>
      <c r="D70" s="146">
        <v>0</v>
      </c>
      <c r="E70" s="146">
        <v>0</v>
      </c>
      <c r="F70" s="146">
        <v>0</v>
      </c>
      <c r="G70" s="146">
        <v>0</v>
      </c>
      <c r="H70" s="146">
        <v>0</v>
      </c>
      <c r="I70" s="146">
        <v>0</v>
      </c>
      <c r="J70" s="172">
        <f aca="true" t="shared" si="13" ref="J70:J89">SUM(C70:I70)</f>
        <v>0</v>
      </c>
      <c r="K70" s="174"/>
      <c r="L70" s="146">
        <v>0</v>
      </c>
      <c r="M70" s="146">
        <v>0</v>
      </c>
      <c r="N70" s="146">
        <v>0</v>
      </c>
      <c r="O70" s="146">
        <v>0</v>
      </c>
      <c r="P70" s="146">
        <v>0</v>
      </c>
      <c r="Q70" s="146">
        <v>0</v>
      </c>
      <c r="R70" s="167">
        <f aca="true" t="shared" si="14" ref="R70:R89">SUM(L70:Q70)</f>
        <v>0</v>
      </c>
    </row>
    <row r="71" spans="1:18" ht="12">
      <c r="A71" s="23" t="s">
        <v>148</v>
      </c>
      <c r="B71" s="111"/>
      <c r="C71" s="146">
        <v>0</v>
      </c>
      <c r="D71" s="146">
        <v>0</v>
      </c>
      <c r="E71" s="146">
        <v>0</v>
      </c>
      <c r="F71" s="146">
        <v>0</v>
      </c>
      <c r="G71" s="146">
        <v>0</v>
      </c>
      <c r="H71" s="146">
        <v>0</v>
      </c>
      <c r="I71" s="146">
        <v>0</v>
      </c>
      <c r="J71" s="172">
        <f t="shared" si="13"/>
        <v>0</v>
      </c>
      <c r="K71" s="174"/>
      <c r="L71" s="146">
        <v>0</v>
      </c>
      <c r="M71" s="146">
        <v>0</v>
      </c>
      <c r="N71" s="146">
        <v>0</v>
      </c>
      <c r="O71" s="146">
        <v>0</v>
      </c>
      <c r="P71" s="146">
        <v>0</v>
      </c>
      <c r="Q71" s="146">
        <v>0</v>
      </c>
      <c r="R71" s="167">
        <f t="shared" si="14"/>
        <v>0</v>
      </c>
    </row>
    <row r="72" spans="1:18" ht="12">
      <c r="A72" s="14" t="s">
        <v>16</v>
      </c>
      <c r="B72" s="111"/>
      <c r="C72" s="146">
        <v>0</v>
      </c>
      <c r="D72" s="146">
        <v>0</v>
      </c>
      <c r="E72" s="146">
        <v>0</v>
      </c>
      <c r="F72" s="146">
        <v>0</v>
      </c>
      <c r="G72" s="146">
        <v>0</v>
      </c>
      <c r="H72" s="146">
        <v>0</v>
      </c>
      <c r="I72" s="146">
        <v>0</v>
      </c>
      <c r="J72" s="172">
        <f t="shared" si="13"/>
        <v>0</v>
      </c>
      <c r="K72" s="174"/>
      <c r="L72" s="146">
        <v>0</v>
      </c>
      <c r="M72" s="146">
        <v>0</v>
      </c>
      <c r="N72" s="146">
        <v>0</v>
      </c>
      <c r="O72" s="146">
        <v>0</v>
      </c>
      <c r="P72" s="146">
        <v>0</v>
      </c>
      <c r="Q72" s="146">
        <v>0</v>
      </c>
      <c r="R72" s="167">
        <f t="shared" si="14"/>
        <v>0</v>
      </c>
    </row>
    <row r="73" spans="1:18" ht="12">
      <c r="A73" s="14" t="s">
        <v>17</v>
      </c>
      <c r="B73" s="117"/>
      <c r="C73" s="146">
        <v>0</v>
      </c>
      <c r="D73" s="146">
        <v>0</v>
      </c>
      <c r="E73" s="146">
        <v>0</v>
      </c>
      <c r="F73" s="146">
        <v>0</v>
      </c>
      <c r="G73" s="146">
        <v>0</v>
      </c>
      <c r="H73" s="146">
        <v>0</v>
      </c>
      <c r="I73" s="146">
        <v>0</v>
      </c>
      <c r="J73" s="172">
        <f t="shared" si="13"/>
        <v>0</v>
      </c>
      <c r="K73" s="174"/>
      <c r="L73" s="146">
        <v>0</v>
      </c>
      <c r="M73" s="146">
        <v>0</v>
      </c>
      <c r="N73" s="146">
        <v>0</v>
      </c>
      <c r="O73" s="146">
        <v>0</v>
      </c>
      <c r="P73" s="146">
        <v>0</v>
      </c>
      <c r="Q73" s="146">
        <v>0</v>
      </c>
      <c r="R73" s="167">
        <f t="shared" si="14"/>
        <v>0</v>
      </c>
    </row>
    <row r="74" spans="1:18" ht="12">
      <c r="A74" s="14" t="s">
        <v>18</v>
      </c>
      <c r="B74" s="111"/>
      <c r="C74" s="146">
        <v>0</v>
      </c>
      <c r="D74" s="146">
        <v>0</v>
      </c>
      <c r="E74" s="146">
        <v>0</v>
      </c>
      <c r="F74" s="146">
        <v>0</v>
      </c>
      <c r="G74" s="146">
        <v>0</v>
      </c>
      <c r="H74" s="146">
        <v>0</v>
      </c>
      <c r="I74" s="146">
        <v>0</v>
      </c>
      <c r="J74" s="172">
        <f t="shared" si="13"/>
        <v>0</v>
      </c>
      <c r="K74" s="174"/>
      <c r="L74" s="146">
        <v>0</v>
      </c>
      <c r="M74" s="146">
        <v>0</v>
      </c>
      <c r="N74" s="146">
        <v>0</v>
      </c>
      <c r="O74" s="146">
        <v>0</v>
      </c>
      <c r="P74" s="146">
        <v>0</v>
      </c>
      <c r="Q74" s="146">
        <v>0</v>
      </c>
      <c r="R74" s="167">
        <f t="shared" si="14"/>
        <v>0</v>
      </c>
    </row>
    <row r="75" spans="1:18" ht="12">
      <c r="A75" s="7" t="s">
        <v>26</v>
      </c>
      <c r="B75" s="111"/>
      <c r="C75" s="146">
        <v>0</v>
      </c>
      <c r="D75" s="146">
        <v>0</v>
      </c>
      <c r="E75" s="146">
        <v>0</v>
      </c>
      <c r="F75" s="146">
        <v>0</v>
      </c>
      <c r="G75" s="146">
        <v>0</v>
      </c>
      <c r="H75" s="146">
        <v>0</v>
      </c>
      <c r="I75" s="146">
        <v>0</v>
      </c>
      <c r="J75" s="172">
        <f t="shared" si="13"/>
        <v>0</v>
      </c>
      <c r="K75" s="174"/>
      <c r="L75" s="146">
        <v>0</v>
      </c>
      <c r="M75" s="146">
        <v>0</v>
      </c>
      <c r="N75" s="146">
        <v>0</v>
      </c>
      <c r="O75" s="146">
        <v>0</v>
      </c>
      <c r="P75" s="146">
        <v>0</v>
      </c>
      <c r="Q75" s="146">
        <v>0</v>
      </c>
      <c r="R75" s="167">
        <f t="shared" si="14"/>
        <v>0</v>
      </c>
    </row>
    <row r="76" spans="1:18" ht="12">
      <c r="A76" s="14" t="s">
        <v>23</v>
      </c>
      <c r="B76" s="111"/>
      <c r="C76" s="146">
        <v>0</v>
      </c>
      <c r="D76" s="146">
        <v>0</v>
      </c>
      <c r="E76" s="146">
        <v>0</v>
      </c>
      <c r="F76" s="146">
        <v>0</v>
      </c>
      <c r="G76" s="146">
        <v>0</v>
      </c>
      <c r="H76" s="146">
        <v>0</v>
      </c>
      <c r="I76" s="146">
        <v>0</v>
      </c>
      <c r="J76" s="172">
        <f t="shared" si="13"/>
        <v>0</v>
      </c>
      <c r="K76" s="174"/>
      <c r="L76" s="146">
        <v>0</v>
      </c>
      <c r="M76" s="146">
        <v>0</v>
      </c>
      <c r="N76" s="146">
        <v>0</v>
      </c>
      <c r="O76" s="146">
        <v>0</v>
      </c>
      <c r="P76" s="146">
        <v>0</v>
      </c>
      <c r="Q76" s="146">
        <v>0</v>
      </c>
      <c r="R76" s="167">
        <f t="shared" si="14"/>
        <v>0</v>
      </c>
    </row>
    <row r="77" spans="1:18" ht="12">
      <c r="A77" s="14" t="s">
        <v>24</v>
      </c>
      <c r="B77" s="111"/>
      <c r="C77" s="146">
        <v>0</v>
      </c>
      <c r="D77" s="146">
        <v>0</v>
      </c>
      <c r="E77" s="146">
        <v>0</v>
      </c>
      <c r="F77" s="146">
        <v>0</v>
      </c>
      <c r="G77" s="146">
        <v>0</v>
      </c>
      <c r="H77" s="146">
        <v>0</v>
      </c>
      <c r="I77" s="146">
        <v>0</v>
      </c>
      <c r="J77" s="172">
        <f t="shared" si="13"/>
        <v>0</v>
      </c>
      <c r="K77" s="174"/>
      <c r="L77" s="146">
        <v>0</v>
      </c>
      <c r="M77" s="146">
        <v>0</v>
      </c>
      <c r="N77" s="146">
        <v>0</v>
      </c>
      <c r="O77" s="146">
        <v>0</v>
      </c>
      <c r="P77" s="146">
        <v>0</v>
      </c>
      <c r="Q77" s="146">
        <v>0</v>
      </c>
      <c r="R77" s="167">
        <f t="shared" si="14"/>
        <v>0</v>
      </c>
    </row>
    <row r="78" spans="1:18" ht="24">
      <c r="A78" s="23" t="s">
        <v>113</v>
      </c>
      <c r="B78" s="111"/>
      <c r="C78" s="146">
        <v>0</v>
      </c>
      <c r="D78" s="146">
        <v>0</v>
      </c>
      <c r="E78" s="146">
        <v>0</v>
      </c>
      <c r="F78" s="146">
        <v>0</v>
      </c>
      <c r="G78" s="146">
        <v>0</v>
      </c>
      <c r="H78" s="146">
        <v>0</v>
      </c>
      <c r="I78" s="146">
        <v>0</v>
      </c>
      <c r="J78" s="172">
        <f t="shared" si="13"/>
        <v>0</v>
      </c>
      <c r="K78" s="174"/>
      <c r="L78" s="146">
        <v>0</v>
      </c>
      <c r="M78" s="146">
        <v>0</v>
      </c>
      <c r="N78" s="146">
        <v>0</v>
      </c>
      <c r="O78" s="146">
        <v>0</v>
      </c>
      <c r="P78" s="146">
        <v>0</v>
      </c>
      <c r="Q78" s="146">
        <v>0</v>
      </c>
      <c r="R78" s="167">
        <f t="shared" si="14"/>
        <v>0</v>
      </c>
    </row>
    <row r="79" spans="1:18" ht="12">
      <c r="A79" s="7" t="s">
        <v>30</v>
      </c>
      <c r="B79" s="111"/>
      <c r="C79" s="146">
        <v>0</v>
      </c>
      <c r="D79" s="146">
        <v>0</v>
      </c>
      <c r="E79" s="146">
        <v>0</v>
      </c>
      <c r="F79" s="146">
        <v>0</v>
      </c>
      <c r="G79" s="146">
        <v>0</v>
      </c>
      <c r="H79" s="146">
        <v>0</v>
      </c>
      <c r="I79" s="146">
        <v>0</v>
      </c>
      <c r="J79" s="172">
        <f t="shared" si="13"/>
        <v>0</v>
      </c>
      <c r="K79" s="174"/>
      <c r="L79" s="146">
        <v>0</v>
      </c>
      <c r="M79" s="146">
        <v>0</v>
      </c>
      <c r="N79" s="146">
        <v>0</v>
      </c>
      <c r="O79" s="146">
        <v>0</v>
      </c>
      <c r="P79" s="146">
        <v>0</v>
      </c>
      <c r="Q79" s="146">
        <v>0</v>
      </c>
      <c r="R79" s="167">
        <f t="shared" si="14"/>
        <v>0</v>
      </c>
    </row>
    <row r="80" spans="1:18" ht="12">
      <c r="A80" s="7" t="s">
        <v>31</v>
      </c>
      <c r="B80" s="111"/>
      <c r="C80" s="146">
        <v>0</v>
      </c>
      <c r="D80" s="146">
        <v>0</v>
      </c>
      <c r="E80" s="146">
        <v>0</v>
      </c>
      <c r="F80" s="146">
        <v>0</v>
      </c>
      <c r="G80" s="146">
        <v>0</v>
      </c>
      <c r="H80" s="146">
        <v>0</v>
      </c>
      <c r="I80" s="146">
        <v>0</v>
      </c>
      <c r="J80" s="172">
        <f t="shared" si="13"/>
        <v>0</v>
      </c>
      <c r="K80" s="174"/>
      <c r="L80" s="146">
        <v>0</v>
      </c>
      <c r="M80" s="146">
        <v>0</v>
      </c>
      <c r="N80" s="146">
        <v>0</v>
      </c>
      <c r="O80" s="146">
        <v>0</v>
      </c>
      <c r="P80" s="146">
        <v>0</v>
      </c>
      <c r="Q80" s="146">
        <v>0</v>
      </c>
      <c r="R80" s="167">
        <f t="shared" si="14"/>
        <v>0</v>
      </c>
    </row>
    <row r="81" spans="1:18" ht="12">
      <c r="A81" s="51" t="s">
        <v>102</v>
      </c>
      <c r="B81" s="111"/>
      <c r="C81" s="146">
        <v>0</v>
      </c>
      <c r="D81" s="146">
        <v>0</v>
      </c>
      <c r="E81" s="146">
        <v>0</v>
      </c>
      <c r="F81" s="146">
        <v>0</v>
      </c>
      <c r="G81" s="146">
        <v>0</v>
      </c>
      <c r="H81" s="146">
        <v>0</v>
      </c>
      <c r="I81" s="146">
        <v>0</v>
      </c>
      <c r="J81" s="172">
        <f t="shared" si="13"/>
        <v>0</v>
      </c>
      <c r="K81" s="174"/>
      <c r="L81" s="146">
        <v>0</v>
      </c>
      <c r="M81" s="146">
        <v>0</v>
      </c>
      <c r="N81" s="146">
        <v>0</v>
      </c>
      <c r="O81" s="146">
        <v>0</v>
      </c>
      <c r="P81" s="146">
        <v>0</v>
      </c>
      <c r="Q81" s="146">
        <v>0</v>
      </c>
      <c r="R81" s="167">
        <f t="shared" si="14"/>
        <v>0</v>
      </c>
    </row>
    <row r="82" spans="1:18" ht="12">
      <c r="A82" s="51" t="s">
        <v>48</v>
      </c>
      <c r="B82" s="111"/>
      <c r="C82" s="146">
        <v>0</v>
      </c>
      <c r="D82" s="146">
        <v>0</v>
      </c>
      <c r="E82" s="146">
        <v>0</v>
      </c>
      <c r="F82" s="146">
        <v>0</v>
      </c>
      <c r="G82" s="146">
        <v>0</v>
      </c>
      <c r="H82" s="146">
        <v>0</v>
      </c>
      <c r="I82" s="146">
        <v>0</v>
      </c>
      <c r="J82" s="172">
        <f t="shared" si="13"/>
        <v>0</v>
      </c>
      <c r="K82" s="174"/>
      <c r="L82" s="146">
        <v>0</v>
      </c>
      <c r="M82" s="146">
        <v>0</v>
      </c>
      <c r="N82" s="146">
        <v>0</v>
      </c>
      <c r="O82" s="146">
        <v>0</v>
      </c>
      <c r="P82" s="146">
        <v>0</v>
      </c>
      <c r="Q82" s="146">
        <v>0</v>
      </c>
      <c r="R82" s="167">
        <f t="shared" si="14"/>
        <v>0</v>
      </c>
    </row>
    <row r="83" spans="1:18" ht="12">
      <c r="A83" s="51" t="s">
        <v>27</v>
      </c>
      <c r="B83" s="111"/>
      <c r="C83" s="146">
        <v>0</v>
      </c>
      <c r="D83" s="146">
        <v>0</v>
      </c>
      <c r="E83" s="146">
        <v>0</v>
      </c>
      <c r="F83" s="146">
        <v>0</v>
      </c>
      <c r="G83" s="146">
        <v>0</v>
      </c>
      <c r="H83" s="146">
        <v>0</v>
      </c>
      <c r="I83" s="146">
        <v>0</v>
      </c>
      <c r="J83" s="172">
        <f t="shared" si="13"/>
        <v>0</v>
      </c>
      <c r="K83" s="174"/>
      <c r="L83" s="146">
        <v>0</v>
      </c>
      <c r="M83" s="146">
        <v>0</v>
      </c>
      <c r="N83" s="146">
        <v>0</v>
      </c>
      <c r="O83" s="146">
        <v>0</v>
      </c>
      <c r="P83" s="146">
        <v>0</v>
      </c>
      <c r="Q83" s="146">
        <v>0</v>
      </c>
      <c r="R83" s="167">
        <f t="shared" si="14"/>
        <v>0</v>
      </c>
    </row>
    <row r="84" spans="1:18" ht="12">
      <c r="A84" s="51" t="s">
        <v>28</v>
      </c>
      <c r="B84" s="111"/>
      <c r="C84" s="146">
        <v>0</v>
      </c>
      <c r="D84" s="146">
        <v>0</v>
      </c>
      <c r="E84" s="146">
        <v>0</v>
      </c>
      <c r="F84" s="146">
        <v>0</v>
      </c>
      <c r="G84" s="146">
        <v>0</v>
      </c>
      <c r="H84" s="146">
        <v>0</v>
      </c>
      <c r="I84" s="146">
        <v>0</v>
      </c>
      <c r="J84" s="172">
        <f t="shared" si="13"/>
        <v>0</v>
      </c>
      <c r="K84" s="174"/>
      <c r="L84" s="146">
        <v>0</v>
      </c>
      <c r="M84" s="146">
        <v>0</v>
      </c>
      <c r="N84" s="146">
        <v>0</v>
      </c>
      <c r="O84" s="146">
        <v>0</v>
      </c>
      <c r="P84" s="146">
        <v>0</v>
      </c>
      <c r="Q84" s="146">
        <v>0</v>
      </c>
      <c r="R84" s="167">
        <f t="shared" si="14"/>
        <v>0</v>
      </c>
    </row>
    <row r="85" spans="1:18" ht="12">
      <c r="A85" s="51" t="s">
        <v>153</v>
      </c>
      <c r="B85" s="111"/>
      <c r="C85" s="146">
        <v>0</v>
      </c>
      <c r="D85" s="146">
        <v>0</v>
      </c>
      <c r="E85" s="146">
        <v>0</v>
      </c>
      <c r="F85" s="146">
        <v>0</v>
      </c>
      <c r="G85" s="146">
        <v>0</v>
      </c>
      <c r="H85" s="146">
        <v>0</v>
      </c>
      <c r="I85" s="146">
        <v>0</v>
      </c>
      <c r="J85" s="172">
        <f t="shared" si="13"/>
        <v>0</v>
      </c>
      <c r="K85" s="174"/>
      <c r="L85" s="146">
        <v>0</v>
      </c>
      <c r="M85" s="146">
        <v>0</v>
      </c>
      <c r="N85" s="146">
        <v>0</v>
      </c>
      <c r="O85" s="146">
        <v>0</v>
      </c>
      <c r="P85" s="146">
        <v>0</v>
      </c>
      <c r="Q85" s="146">
        <v>0</v>
      </c>
      <c r="R85" s="167">
        <f t="shared" si="14"/>
        <v>0</v>
      </c>
    </row>
    <row r="86" spans="1:18" ht="12">
      <c r="A86" s="51" t="s">
        <v>47</v>
      </c>
      <c r="B86" s="111"/>
      <c r="C86" s="146">
        <v>0</v>
      </c>
      <c r="D86" s="146">
        <v>0</v>
      </c>
      <c r="E86" s="146">
        <v>0</v>
      </c>
      <c r="F86" s="146">
        <v>0</v>
      </c>
      <c r="G86" s="146">
        <v>0</v>
      </c>
      <c r="H86" s="146">
        <v>0</v>
      </c>
      <c r="I86" s="146">
        <v>0</v>
      </c>
      <c r="J86" s="172">
        <f t="shared" si="13"/>
        <v>0</v>
      </c>
      <c r="K86" s="174"/>
      <c r="L86" s="146">
        <v>0</v>
      </c>
      <c r="M86" s="146">
        <v>0</v>
      </c>
      <c r="N86" s="146">
        <v>0</v>
      </c>
      <c r="O86" s="146">
        <v>0</v>
      </c>
      <c r="P86" s="146">
        <v>0</v>
      </c>
      <c r="Q86" s="146">
        <v>0</v>
      </c>
      <c r="R86" s="167">
        <f t="shared" si="14"/>
        <v>0</v>
      </c>
    </row>
    <row r="87" spans="1:18" ht="12">
      <c r="A87" s="51" t="s">
        <v>47</v>
      </c>
      <c r="B87" s="111"/>
      <c r="C87" s="146">
        <v>0</v>
      </c>
      <c r="D87" s="146">
        <v>0</v>
      </c>
      <c r="E87" s="146">
        <v>0</v>
      </c>
      <c r="F87" s="146">
        <v>0</v>
      </c>
      <c r="G87" s="146">
        <v>0</v>
      </c>
      <c r="H87" s="146">
        <v>0</v>
      </c>
      <c r="I87" s="146">
        <v>0</v>
      </c>
      <c r="J87" s="172">
        <f t="shared" si="13"/>
        <v>0</v>
      </c>
      <c r="K87" s="174"/>
      <c r="L87" s="146">
        <v>0</v>
      </c>
      <c r="M87" s="146">
        <v>0</v>
      </c>
      <c r="N87" s="146">
        <v>0</v>
      </c>
      <c r="O87" s="146">
        <v>0</v>
      </c>
      <c r="P87" s="146">
        <v>0</v>
      </c>
      <c r="Q87" s="146">
        <v>0</v>
      </c>
      <c r="R87" s="167">
        <f t="shared" si="14"/>
        <v>0</v>
      </c>
    </row>
    <row r="88" spans="1:18" ht="12">
      <c r="A88" s="51" t="s">
        <v>47</v>
      </c>
      <c r="B88" s="111"/>
      <c r="C88" s="146">
        <v>0</v>
      </c>
      <c r="D88" s="146">
        <v>0</v>
      </c>
      <c r="E88" s="146">
        <v>0</v>
      </c>
      <c r="F88" s="146">
        <v>0</v>
      </c>
      <c r="G88" s="146">
        <v>0</v>
      </c>
      <c r="H88" s="146">
        <v>0</v>
      </c>
      <c r="I88" s="146">
        <v>0</v>
      </c>
      <c r="J88" s="172">
        <f t="shared" si="13"/>
        <v>0</v>
      </c>
      <c r="K88" s="174"/>
      <c r="L88" s="146">
        <v>0</v>
      </c>
      <c r="M88" s="146">
        <v>0</v>
      </c>
      <c r="N88" s="146">
        <v>0</v>
      </c>
      <c r="O88" s="146">
        <v>0</v>
      </c>
      <c r="P88" s="146">
        <v>0</v>
      </c>
      <c r="Q88" s="146">
        <v>0</v>
      </c>
      <c r="R88" s="167">
        <f t="shared" si="14"/>
        <v>0</v>
      </c>
    </row>
    <row r="89" spans="1:18" ht="12">
      <c r="A89" s="51" t="s">
        <v>47</v>
      </c>
      <c r="B89" s="111"/>
      <c r="C89" s="146">
        <v>0</v>
      </c>
      <c r="D89" s="146">
        <v>0</v>
      </c>
      <c r="E89" s="146">
        <v>0</v>
      </c>
      <c r="F89" s="146">
        <v>0</v>
      </c>
      <c r="G89" s="146">
        <v>0</v>
      </c>
      <c r="H89" s="146">
        <v>0</v>
      </c>
      <c r="I89" s="146">
        <v>0</v>
      </c>
      <c r="J89" s="172">
        <f t="shared" si="13"/>
        <v>0</v>
      </c>
      <c r="K89" s="174"/>
      <c r="L89" s="146">
        <v>0</v>
      </c>
      <c r="M89" s="146">
        <v>0</v>
      </c>
      <c r="N89" s="146">
        <v>0</v>
      </c>
      <c r="O89" s="146">
        <v>0</v>
      </c>
      <c r="P89" s="146">
        <v>0</v>
      </c>
      <c r="Q89" s="146">
        <v>0</v>
      </c>
      <c r="R89" s="167">
        <f t="shared" si="14"/>
        <v>0</v>
      </c>
    </row>
    <row r="90" spans="1:18" s="45" customFormat="1" ht="12">
      <c r="A90" s="20" t="s">
        <v>82</v>
      </c>
      <c r="B90" s="111"/>
      <c r="C90" s="151">
        <f>SUM(C70:C89)</f>
        <v>0</v>
      </c>
      <c r="D90" s="151">
        <f aca="true" t="shared" si="15" ref="D90:R90">SUM(D70:D89)</f>
        <v>0</v>
      </c>
      <c r="E90" s="151">
        <f t="shared" si="15"/>
        <v>0</v>
      </c>
      <c r="F90" s="151">
        <f t="shared" si="15"/>
        <v>0</v>
      </c>
      <c r="G90" s="151">
        <f t="shared" si="15"/>
        <v>0</v>
      </c>
      <c r="H90" s="151">
        <f t="shared" si="15"/>
        <v>0</v>
      </c>
      <c r="I90" s="151">
        <f t="shared" si="15"/>
        <v>0</v>
      </c>
      <c r="J90" s="151">
        <f t="shared" si="15"/>
        <v>0</v>
      </c>
      <c r="K90" s="176"/>
      <c r="L90" s="151">
        <f t="shared" si="15"/>
        <v>0</v>
      </c>
      <c r="M90" s="151">
        <f t="shared" si="15"/>
        <v>0</v>
      </c>
      <c r="N90" s="151">
        <f t="shared" si="15"/>
        <v>0</v>
      </c>
      <c r="O90" s="151">
        <f t="shared" si="15"/>
        <v>0</v>
      </c>
      <c r="P90" s="151">
        <f t="shared" si="15"/>
        <v>0</v>
      </c>
      <c r="Q90" s="151">
        <f t="shared" si="15"/>
        <v>0</v>
      </c>
      <c r="R90" s="151">
        <f t="shared" si="15"/>
        <v>0</v>
      </c>
    </row>
    <row r="91" spans="1:18" s="47" customFormat="1" ht="12">
      <c r="A91" s="94"/>
      <c r="B91" s="111"/>
      <c r="C91" s="150"/>
      <c r="D91" s="127"/>
      <c r="E91" s="62"/>
      <c r="F91" s="62"/>
      <c r="G91" s="62"/>
      <c r="H91" s="62"/>
      <c r="I91" s="62"/>
      <c r="J91" s="62"/>
      <c r="K91" s="149"/>
      <c r="L91" s="62"/>
      <c r="M91" s="62"/>
      <c r="N91" s="62"/>
      <c r="O91" s="62"/>
      <c r="P91" s="62"/>
      <c r="Q91" s="62"/>
      <c r="R91" s="121"/>
    </row>
    <row r="92" spans="1:18" ht="12">
      <c r="A92" s="94" t="s">
        <v>32</v>
      </c>
      <c r="B92" s="111"/>
      <c r="C92" s="150"/>
      <c r="D92" s="127"/>
      <c r="E92" s="62"/>
      <c r="F92" s="62"/>
      <c r="G92" s="62"/>
      <c r="H92" s="62"/>
      <c r="I92" s="62"/>
      <c r="J92" s="62"/>
      <c r="K92" s="149"/>
      <c r="L92" s="62"/>
      <c r="M92" s="62"/>
      <c r="N92" s="62"/>
      <c r="O92" s="62"/>
      <c r="P92" s="62"/>
      <c r="Q92" s="62"/>
      <c r="R92" s="121"/>
    </row>
    <row r="93" spans="1:18" ht="12">
      <c r="A93" s="51" t="s">
        <v>33</v>
      </c>
      <c r="B93" s="111"/>
      <c r="C93" s="146">
        <v>0</v>
      </c>
      <c r="D93" s="146">
        <v>0</v>
      </c>
      <c r="E93" s="146">
        <v>0</v>
      </c>
      <c r="F93" s="146">
        <v>0</v>
      </c>
      <c r="G93" s="146">
        <v>0</v>
      </c>
      <c r="H93" s="146">
        <v>0</v>
      </c>
      <c r="I93" s="146">
        <v>0</v>
      </c>
      <c r="J93" s="172">
        <f aca="true" t="shared" si="16" ref="J93:J105">SUM(C93:I93)</f>
        <v>0</v>
      </c>
      <c r="K93" s="174"/>
      <c r="L93" s="146">
        <v>0</v>
      </c>
      <c r="M93" s="146">
        <v>0</v>
      </c>
      <c r="N93" s="146">
        <v>0</v>
      </c>
      <c r="O93" s="146">
        <v>0</v>
      </c>
      <c r="P93" s="146">
        <v>0</v>
      </c>
      <c r="Q93" s="146">
        <v>0</v>
      </c>
      <c r="R93" s="167">
        <f aca="true" t="shared" si="17" ref="R93:R105">SUM(L93:Q93)</f>
        <v>0</v>
      </c>
    </row>
    <row r="94" spans="1:18" ht="12">
      <c r="A94" s="149" t="s">
        <v>154</v>
      </c>
      <c r="B94" s="111"/>
      <c r="C94" s="146">
        <v>0</v>
      </c>
      <c r="D94" s="146">
        <v>0</v>
      </c>
      <c r="E94" s="146">
        <v>0</v>
      </c>
      <c r="F94" s="146">
        <v>0</v>
      </c>
      <c r="G94" s="146">
        <v>0</v>
      </c>
      <c r="H94" s="146">
        <v>0</v>
      </c>
      <c r="I94" s="146">
        <v>0</v>
      </c>
      <c r="J94" s="172">
        <f t="shared" si="16"/>
        <v>0</v>
      </c>
      <c r="K94" s="174"/>
      <c r="L94" s="146">
        <v>0</v>
      </c>
      <c r="M94" s="146">
        <v>0</v>
      </c>
      <c r="N94" s="146">
        <v>0</v>
      </c>
      <c r="O94" s="146">
        <v>0</v>
      </c>
      <c r="P94" s="146">
        <v>0</v>
      </c>
      <c r="Q94" s="146">
        <v>0</v>
      </c>
      <c r="R94" s="167">
        <f t="shared" si="17"/>
        <v>0</v>
      </c>
    </row>
    <row r="95" spans="1:18" ht="12">
      <c r="A95" s="91" t="s">
        <v>34</v>
      </c>
      <c r="B95" s="111"/>
      <c r="C95" s="146">
        <v>0</v>
      </c>
      <c r="D95" s="146">
        <v>0</v>
      </c>
      <c r="E95" s="146">
        <v>0</v>
      </c>
      <c r="F95" s="146">
        <v>0</v>
      </c>
      <c r="G95" s="146">
        <v>0</v>
      </c>
      <c r="H95" s="146">
        <v>0</v>
      </c>
      <c r="I95" s="146">
        <v>0</v>
      </c>
      <c r="J95" s="172">
        <f t="shared" si="16"/>
        <v>0</v>
      </c>
      <c r="K95" s="174"/>
      <c r="L95" s="146">
        <v>0</v>
      </c>
      <c r="M95" s="146">
        <v>0</v>
      </c>
      <c r="N95" s="146">
        <v>0</v>
      </c>
      <c r="O95" s="146">
        <v>0</v>
      </c>
      <c r="P95" s="146">
        <v>0</v>
      </c>
      <c r="Q95" s="146">
        <v>0</v>
      </c>
      <c r="R95" s="167">
        <f t="shared" si="17"/>
        <v>0</v>
      </c>
    </row>
    <row r="96" spans="1:18" ht="12">
      <c r="A96" s="51" t="s">
        <v>105</v>
      </c>
      <c r="B96" s="111"/>
      <c r="C96" s="146">
        <v>0</v>
      </c>
      <c r="D96" s="146">
        <v>0</v>
      </c>
      <c r="E96" s="146">
        <v>0</v>
      </c>
      <c r="F96" s="146">
        <v>0</v>
      </c>
      <c r="G96" s="146">
        <v>0</v>
      </c>
      <c r="H96" s="146">
        <v>0</v>
      </c>
      <c r="I96" s="146">
        <v>0</v>
      </c>
      <c r="J96" s="172">
        <f t="shared" si="16"/>
        <v>0</v>
      </c>
      <c r="K96" s="174"/>
      <c r="L96" s="146">
        <v>0</v>
      </c>
      <c r="M96" s="146">
        <v>0</v>
      </c>
      <c r="N96" s="146">
        <v>0</v>
      </c>
      <c r="O96" s="146">
        <v>0</v>
      </c>
      <c r="P96" s="146">
        <v>0</v>
      </c>
      <c r="Q96" s="146">
        <v>0</v>
      </c>
      <c r="R96" s="167">
        <f t="shared" si="17"/>
        <v>0</v>
      </c>
    </row>
    <row r="97" spans="1:18" ht="12">
      <c r="A97" s="54" t="s">
        <v>35</v>
      </c>
      <c r="B97" s="111"/>
      <c r="C97" s="146">
        <v>0</v>
      </c>
      <c r="D97" s="146">
        <v>0</v>
      </c>
      <c r="E97" s="146">
        <v>0</v>
      </c>
      <c r="F97" s="146">
        <v>0</v>
      </c>
      <c r="G97" s="146">
        <v>0</v>
      </c>
      <c r="H97" s="146">
        <v>0</v>
      </c>
      <c r="I97" s="146">
        <v>0</v>
      </c>
      <c r="J97" s="172">
        <f t="shared" si="16"/>
        <v>0</v>
      </c>
      <c r="K97" s="174"/>
      <c r="L97" s="146">
        <v>0</v>
      </c>
      <c r="M97" s="146">
        <v>0</v>
      </c>
      <c r="N97" s="146">
        <v>0</v>
      </c>
      <c r="O97" s="146">
        <v>0</v>
      </c>
      <c r="P97" s="146">
        <v>0</v>
      </c>
      <c r="Q97" s="146">
        <v>0</v>
      </c>
      <c r="R97" s="167">
        <f t="shared" si="17"/>
        <v>0</v>
      </c>
    </row>
    <row r="98" spans="1:18" ht="12">
      <c r="A98" s="54" t="s">
        <v>36</v>
      </c>
      <c r="B98" s="111"/>
      <c r="C98" s="146">
        <v>0</v>
      </c>
      <c r="D98" s="146">
        <v>0</v>
      </c>
      <c r="E98" s="146">
        <v>0</v>
      </c>
      <c r="F98" s="146">
        <v>0</v>
      </c>
      <c r="G98" s="146">
        <v>0</v>
      </c>
      <c r="H98" s="146">
        <v>0</v>
      </c>
      <c r="I98" s="146">
        <v>0</v>
      </c>
      <c r="J98" s="172">
        <f t="shared" si="16"/>
        <v>0</v>
      </c>
      <c r="K98" s="174"/>
      <c r="L98" s="146">
        <v>0</v>
      </c>
      <c r="M98" s="146">
        <v>0</v>
      </c>
      <c r="N98" s="146">
        <v>0</v>
      </c>
      <c r="O98" s="146">
        <v>0</v>
      </c>
      <c r="P98" s="146">
        <v>0</v>
      </c>
      <c r="Q98" s="146">
        <v>0</v>
      </c>
      <c r="R98" s="167">
        <f t="shared" si="17"/>
        <v>0</v>
      </c>
    </row>
    <row r="99" spans="1:18" ht="12">
      <c r="A99" s="51" t="s">
        <v>25</v>
      </c>
      <c r="B99" s="111"/>
      <c r="C99" s="146">
        <v>0</v>
      </c>
      <c r="D99" s="146">
        <v>0</v>
      </c>
      <c r="E99" s="146">
        <v>0</v>
      </c>
      <c r="F99" s="146">
        <v>0</v>
      </c>
      <c r="G99" s="146">
        <v>0</v>
      </c>
      <c r="H99" s="146">
        <v>0</v>
      </c>
      <c r="I99" s="146">
        <v>0</v>
      </c>
      <c r="J99" s="172">
        <f t="shared" si="16"/>
        <v>0</v>
      </c>
      <c r="K99" s="174"/>
      <c r="L99" s="146">
        <v>0</v>
      </c>
      <c r="M99" s="146">
        <v>0</v>
      </c>
      <c r="N99" s="146">
        <v>0</v>
      </c>
      <c r="O99" s="146">
        <v>0</v>
      </c>
      <c r="P99" s="146">
        <v>0</v>
      </c>
      <c r="Q99" s="146">
        <v>0</v>
      </c>
      <c r="R99" s="167">
        <f t="shared" si="17"/>
        <v>0</v>
      </c>
    </row>
    <row r="100" spans="1:18" ht="12">
      <c r="A100" s="51" t="s">
        <v>29</v>
      </c>
      <c r="B100" s="111"/>
      <c r="C100" s="146">
        <v>0</v>
      </c>
      <c r="D100" s="146">
        <v>0</v>
      </c>
      <c r="E100" s="146">
        <v>0</v>
      </c>
      <c r="F100" s="146">
        <v>0</v>
      </c>
      <c r="G100" s="146">
        <v>0</v>
      </c>
      <c r="H100" s="146">
        <v>0</v>
      </c>
      <c r="I100" s="146">
        <v>0</v>
      </c>
      <c r="J100" s="172">
        <f t="shared" si="16"/>
        <v>0</v>
      </c>
      <c r="K100" s="174"/>
      <c r="L100" s="146">
        <v>0</v>
      </c>
      <c r="M100" s="146">
        <v>0</v>
      </c>
      <c r="N100" s="146">
        <v>0</v>
      </c>
      <c r="O100" s="146">
        <v>0</v>
      </c>
      <c r="P100" s="146">
        <v>0</v>
      </c>
      <c r="Q100" s="146">
        <v>0</v>
      </c>
      <c r="R100" s="167">
        <f t="shared" si="17"/>
        <v>0</v>
      </c>
    </row>
    <row r="101" spans="1:18" ht="12">
      <c r="A101" s="96" t="s">
        <v>155</v>
      </c>
      <c r="B101" s="111"/>
      <c r="C101" s="146">
        <v>0</v>
      </c>
      <c r="D101" s="146">
        <v>0</v>
      </c>
      <c r="E101" s="146">
        <v>0</v>
      </c>
      <c r="F101" s="146">
        <v>0</v>
      </c>
      <c r="G101" s="146">
        <v>0</v>
      </c>
      <c r="H101" s="146">
        <v>0</v>
      </c>
      <c r="I101" s="146">
        <v>0</v>
      </c>
      <c r="J101" s="172">
        <f t="shared" si="16"/>
        <v>0</v>
      </c>
      <c r="K101" s="174"/>
      <c r="L101" s="146">
        <v>0</v>
      </c>
      <c r="M101" s="146">
        <v>0</v>
      </c>
      <c r="N101" s="146">
        <v>0</v>
      </c>
      <c r="O101" s="146">
        <v>0</v>
      </c>
      <c r="P101" s="146">
        <v>0</v>
      </c>
      <c r="Q101" s="146">
        <v>0</v>
      </c>
      <c r="R101" s="167">
        <f t="shared" si="17"/>
        <v>0</v>
      </c>
    </row>
    <row r="102" spans="1:18" ht="12">
      <c r="A102" s="51" t="s">
        <v>47</v>
      </c>
      <c r="B102" s="111"/>
      <c r="C102" s="146">
        <v>0</v>
      </c>
      <c r="D102" s="146">
        <v>0</v>
      </c>
      <c r="E102" s="146">
        <v>0</v>
      </c>
      <c r="F102" s="146">
        <v>0</v>
      </c>
      <c r="G102" s="146">
        <v>0</v>
      </c>
      <c r="H102" s="146">
        <v>0</v>
      </c>
      <c r="I102" s="146">
        <v>0</v>
      </c>
      <c r="J102" s="172">
        <f t="shared" si="16"/>
        <v>0</v>
      </c>
      <c r="K102" s="174"/>
      <c r="L102" s="146">
        <v>0</v>
      </c>
      <c r="M102" s="146">
        <v>0</v>
      </c>
      <c r="N102" s="146">
        <v>0</v>
      </c>
      <c r="O102" s="146">
        <v>0</v>
      </c>
      <c r="P102" s="146">
        <v>0</v>
      </c>
      <c r="Q102" s="146">
        <v>0</v>
      </c>
      <c r="R102" s="167">
        <f t="shared" si="17"/>
        <v>0</v>
      </c>
    </row>
    <row r="103" spans="1:18" ht="12">
      <c r="A103" s="51" t="s">
        <v>47</v>
      </c>
      <c r="B103" s="111"/>
      <c r="C103" s="146">
        <v>0</v>
      </c>
      <c r="D103" s="146">
        <v>0</v>
      </c>
      <c r="E103" s="146">
        <v>0</v>
      </c>
      <c r="F103" s="146">
        <v>0</v>
      </c>
      <c r="G103" s="146">
        <v>0</v>
      </c>
      <c r="H103" s="146">
        <v>0</v>
      </c>
      <c r="I103" s="146">
        <v>0</v>
      </c>
      <c r="J103" s="172">
        <f t="shared" si="16"/>
        <v>0</v>
      </c>
      <c r="K103" s="174"/>
      <c r="L103" s="146">
        <v>0</v>
      </c>
      <c r="M103" s="146">
        <v>0</v>
      </c>
      <c r="N103" s="146">
        <v>0</v>
      </c>
      <c r="O103" s="146">
        <v>0</v>
      </c>
      <c r="P103" s="146">
        <v>0</v>
      </c>
      <c r="Q103" s="146">
        <v>0</v>
      </c>
      <c r="R103" s="167">
        <f t="shared" si="17"/>
        <v>0</v>
      </c>
    </row>
    <row r="104" spans="1:18" ht="12">
      <c r="A104" s="51" t="s">
        <v>47</v>
      </c>
      <c r="B104" s="111"/>
      <c r="C104" s="146">
        <v>0</v>
      </c>
      <c r="D104" s="146">
        <v>0</v>
      </c>
      <c r="E104" s="146">
        <v>0</v>
      </c>
      <c r="F104" s="146">
        <v>0</v>
      </c>
      <c r="G104" s="146">
        <v>0</v>
      </c>
      <c r="H104" s="146">
        <v>0</v>
      </c>
      <c r="I104" s="146">
        <v>0</v>
      </c>
      <c r="J104" s="172">
        <f t="shared" si="16"/>
        <v>0</v>
      </c>
      <c r="K104" s="174"/>
      <c r="L104" s="146">
        <v>0</v>
      </c>
      <c r="M104" s="146">
        <v>0</v>
      </c>
      <c r="N104" s="146">
        <v>0</v>
      </c>
      <c r="O104" s="146">
        <v>0</v>
      </c>
      <c r="P104" s="146">
        <v>0</v>
      </c>
      <c r="Q104" s="146">
        <v>0</v>
      </c>
      <c r="R104" s="167">
        <f t="shared" si="17"/>
        <v>0</v>
      </c>
    </row>
    <row r="105" spans="1:18" ht="12">
      <c r="A105" s="51" t="s">
        <v>47</v>
      </c>
      <c r="B105" s="111"/>
      <c r="C105" s="146">
        <v>0</v>
      </c>
      <c r="D105" s="146">
        <v>0</v>
      </c>
      <c r="E105" s="146">
        <v>0</v>
      </c>
      <c r="F105" s="146">
        <v>0</v>
      </c>
      <c r="G105" s="146">
        <v>0</v>
      </c>
      <c r="H105" s="146">
        <v>0</v>
      </c>
      <c r="I105" s="146">
        <v>0</v>
      </c>
      <c r="J105" s="172">
        <f t="shared" si="16"/>
        <v>0</v>
      </c>
      <c r="K105" s="174"/>
      <c r="L105" s="146">
        <v>0</v>
      </c>
      <c r="M105" s="146">
        <v>0</v>
      </c>
      <c r="N105" s="146">
        <v>0</v>
      </c>
      <c r="O105" s="146">
        <v>0</v>
      </c>
      <c r="P105" s="146">
        <v>0</v>
      </c>
      <c r="Q105" s="146">
        <v>0</v>
      </c>
      <c r="R105" s="167">
        <f t="shared" si="17"/>
        <v>0</v>
      </c>
    </row>
    <row r="106" spans="1:18" ht="12">
      <c r="A106" s="20" t="s">
        <v>37</v>
      </c>
      <c r="B106" s="111"/>
      <c r="C106" s="151">
        <f>SUM(C93:C105)</f>
        <v>0</v>
      </c>
      <c r="D106" s="151">
        <f aca="true" t="shared" si="18" ref="D106:R106">SUM(D93:D105)</f>
        <v>0</v>
      </c>
      <c r="E106" s="151">
        <f t="shared" si="18"/>
        <v>0</v>
      </c>
      <c r="F106" s="151">
        <f t="shared" si="18"/>
        <v>0</v>
      </c>
      <c r="G106" s="151">
        <f t="shared" si="18"/>
        <v>0</v>
      </c>
      <c r="H106" s="151">
        <f t="shared" si="18"/>
        <v>0</v>
      </c>
      <c r="I106" s="151">
        <f t="shared" si="18"/>
        <v>0</v>
      </c>
      <c r="J106" s="151">
        <f t="shared" si="18"/>
        <v>0</v>
      </c>
      <c r="K106" s="176"/>
      <c r="L106" s="151">
        <f t="shared" si="18"/>
        <v>0</v>
      </c>
      <c r="M106" s="151">
        <f t="shared" si="18"/>
        <v>0</v>
      </c>
      <c r="N106" s="151">
        <f t="shared" si="18"/>
        <v>0</v>
      </c>
      <c r="O106" s="151">
        <f t="shared" si="18"/>
        <v>0</v>
      </c>
      <c r="P106" s="151">
        <f t="shared" si="18"/>
        <v>0</v>
      </c>
      <c r="Q106" s="151">
        <f t="shared" si="18"/>
        <v>0</v>
      </c>
      <c r="R106" s="151">
        <f t="shared" si="18"/>
        <v>0</v>
      </c>
    </row>
    <row r="107" spans="1:18" s="47" customFormat="1" ht="12">
      <c r="A107" s="63"/>
      <c r="B107" s="111"/>
      <c r="C107" s="150"/>
      <c r="D107" s="127"/>
      <c r="E107" s="62"/>
      <c r="F107" s="62"/>
      <c r="G107" s="62"/>
      <c r="H107" s="62"/>
      <c r="I107" s="62"/>
      <c r="J107" s="62"/>
      <c r="K107" s="149"/>
      <c r="L107" s="62"/>
      <c r="M107" s="62"/>
      <c r="N107" s="62"/>
      <c r="O107" s="62"/>
      <c r="P107" s="62"/>
      <c r="Q107" s="62"/>
      <c r="R107" s="121"/>
    </row>
    <row r="108" spans="1:18" ht="12">
      <c r="A108" s="17" t="s">
        <v>83</v>
      </c>
      <c r="B108" s="117"/>
      <c r="C108" s="150"/>
      <c r="D108" s="127"/>
      <c r="E108" s="62"/>
      <c r="F108" s="62"/>
      <c r="G108" s="62"/>
      <c r="H108" s="62"/>
      <c r="I108" s="62"/>
      <c r="J108" s="62"/>
      <c r="K108" s="149"/>
      <c r="L108" s="62"/>
      <c r="M108" s="62"/>
      <c r="N108" s="62"/>
      <c r="O108" s="62"/>
      <c r="P108" s="62"/>
      <c r="Q108" s="62"/>
      <c r="R108" s="121"/>
    </row>
    <row r="109" spans="1:18" s="47" customFormat="1" ht="12">
      <c r="A109" s="96" t="s">
        <v>85</v>
      </c>
      <c r="B109" s="117"/>
      <c r="C109" s="146">
        <v>0</v>
      </c>
      <c r="D109" s="146">
        <v>0</v>
      </c>
      <c r="E109" s="146">
        <v>0</v>
      </c>
      <c r="F109" s="146">
        <v>0</v>
      </c>
      <c r="G109" s="146">
        <v>0</v>
      </c>
      <c r="H109" s="146">
        <v>0</v>
      </c>
      <c r="I109" s="146">
        <v>0</v>
      </c>
      <c r="J109" s="172">
        <f aca="true" t="shared" si="19" ref="J109:J115">SUM(C109:I109)</f>
        <v>0</v>
      </c>
      <c r="K109" s="174"/>
      <c r="L109" s="146">
        <v>0</v>
      </c>
      <c r="M109" s="146">
        <v>0</v>
      </c>
      <c r="N109" s="146">
        <v>0</v>
      </c>
      <c r="O109" s="146">
        <v>0</v>
      </c>
      <c r="P109" s="146">
        <v>0</v>
      </c>
      <c r="Q109" s="146">
        <v>0</v>
      </c>
      <c r="R109" s="167">
        <f aca="true" t="shared" si="20" ref="R109:R115">SUM(L109:Q109)</f>
        <v>0</v>
      </c>
    </row>
    <row r="110" spans="1:18" s="47" customFormat="1" ht="12">
      <c r="A110" s="96" t="s">
        <v>114</v>
      </c>
      <c r="B110" s="117"/>
      <c r="C110" s="146">
        <v>0</v>
      </c>
      <c r="D110" s="146">
        <v>0</v>
      </c>
      <c r="E110" s="146">
        <v>0</v>
      </c>
      <c r="F110" s="146">
        <v>0</v>
      </c>
      <c r="G110" s="146">
        <v>0</v>
      </c>
      <c r="H110" s="146">
        <v>0</v>
      </c>
      <c r="I110" s="146">
        <v>0</v>
      </c>
      <c r="J110" s="172">
        <f t="shared" si="19"/>
        <v>0</v>
      </c>
      <c r="K110" s="174"/>
      <c r="L110" s="146">
        <v>0</v>
      </c>
      <c r="M110" s="146">
        <v>0</v>
      </c>
      <c r="N110" s="146">
        <v>0</v>
      </c>
      <c r="O110" s="146">
        <v>0</v>
      </c>
      <c r="P110" s="146">
        <v>0</v>
      </c>
      <c r="Q110" s="146">
        <v>0</v>
      </c>
      <c r="R110" s="167">
        <f t="shared" si="20"/>
        <v>0</v>
      </c>
    </row>
    <row r="111" spans="1:18" s="47" customFormat="1" ht="12">
      <c r="A111" s="96" t="s">
        <v>84</v>
      </c>
      <c r="B111" s="117"/>
      <c r="C111" s="146">
        <v>0</v>
      </c>
      <c r="D111" s="146">
        <v>0</v>
      </c>
      <c r="E111" s="146">
        <v>0</v>
      </c>
      <c r="F111" s="146">
        <v>0</v>
      </c>
      <c r="G111" s="146">
        <v>0</v>
      </c>
      <c r="H111" s="146">
        <v>0</v>
      </c>
      <c r="I111" s="146">
        <v>0</v>
      </c>
      <c r="J111" s="172">
        <f t="shared" si="19"/>
        <v>0</v>
      </c>
      <c r="K111" s="174"/>
      <c r="L111" s="146">
        <v>0</v>
      </c>
      <c r="M111" s="146">
        <v>0</v>
      </c>
      <c r="N111" s="146">
        <v>0</v>
      </c>
      <c r="O111" s="146">
        <v>0</v>
      </c>
      <c r="P111" s="146">
        <v>0</v>
      </c>
      <c r="Q111" s="146">
        <v>0</v>
      </c>
      <c r="R111" s="167">
        <f t="shared" si="20"/>
        <v>0</v>
      </c>
    </row>
    <row r="112" spans="1:18" s="47" customFormat="1" ht="12">
      <c r="A112" s="51" t="s">
        <v>47</v>
      </c>
      <c r="B112" s="117"/>
      <c r="C112" s="146">
        <v>0</v>
      </c>
      <c r="D112" s="146">
        <v>0</v>
      </c>
      <c r="E112" s="146">
        <v>0</v>
      </c>
      <c r="F112" s="146">
        <v>0</v>
      </c>
      <c r="G112" s="146">
        <v>0</v>
      </c>
      <c r="H112" s="146">
        <v>0</v>
      </c>
      <c r="I112" s="146">
        <v>0</v>
      </c>
      <c r="J112" s="172">
        <f t="shared" si="19"/>
        <v>0</v>
      </c>
      <c r="K112" s="174"/>
      <c r="L112" s="146">
        <v>0</v>
      </c>
      <c r="M112" s="146">
        <v>0</v>
      </c>
      <c r="N112" s="146">
        <v>0</v>
      </c>
      <c r="O112" s="146">
        <v>0</v>
      </c>
      <c r="P112" s="146">
        <v>0</v>
      </c>
      <c r="Q112" s="146">
        <v>0</v>
      </c>
      <c r="R112" s="167">
        <f t="shared" si="20"/>
        <v>0</v>
      </c>
    </row>
    <row r="113" spans="1:18" s="56" customFormat="1" ht="12">
      <c r="A113" s="51" t="s">
        <v>47</v>
      </c>
      <c r="B113" s="111"/>
      <c r="C113" s="146">
        <v>0</v>
      </c>
      <c r="D113" s="146">
        <v>0</v>
      </c>
      <c r="E113" s="146">
        <v>0</v>
      </c>
      <c r="F113" s="146">
        <v>0</v>
      </c>
      <c r="G113" s="146">
        <v>0</v>
      </c>
      <c r="H113" s="146">
        <v>0</v>
      </c>
      <c r="I113" s="146">
        <v>0</v>
      </c>
      <c r="J113" s="172">
        <f t="shared" si="19"/>
        <v>0</v>
      </c>
      <c r="K113" s="174"/>
      <c r="L113" s="146">
        <v>0</v>
      </c>
      <c r="M113" s="146">
        <v>0</v>
      </c>
      <c r="N113" s="146">
        <v>0</v>
      </c>
      <c r="O113" s="146">
        <v>0</v>
      </c>
      <c r="P113" s="146">
        <v>0</v>
      </c>
      <c r="Q113" s="146">
        <v>0</v>
      </c>
      <c r="R113" s="167">
        <f t="shared" si="20"/>
        <v>0</v>
      </c>
    </row>
    <row r="114" spans="1:18" ht="12">
      <c r="A114" s="51" t="s">
        <v>47</v>
      </c>
      <c r="B114" s="111"/>
      <c r="C114" s="146">
        <v>0</v>
      </c>
      <c r="D114" s="146">
        <v>0</v>
      </c>
      <c r="E114" s="146">
        <v>0</v>
      </c>
      <c r="F114" s="146">
        <v>0</v>
      </c>
      <c r="G114" s="146">
        <v>0</v>
      </c>
      <c r="H114" s="146">
        <v>0</v>
      </c>
      <c r="I114" s="146">
        <v>0</v>
      </c>
      <c r="J114" s="172">
        <f t="shared" si="19"/>
        <v>0</v>
      </c>
      <c r="K114" s="174"/>
      <c r="L114" s="146">
        <v>0</v>
      </c>
      <c r="M114" s="146">
        <v>0</v>
      </c>
      <c r="N114" s="146">
        <v>0</v>
      </c>
      <c r="O114" s="146">
        <v>0</v>
      </c>
      <c r="P114" s="146">
        <v>0</v>
      </c>
      <c r="Q114" s="146">
        <v>0</v>
      </c>
      <c r="R114" s="167">
        <f t="shared" si="20"/>
        <v>0</v>
      </c>
    </row>
    <row r="115" spans="1:18" ht="12">
      <c r="A115" s="51" t="s">
        <v>47</v>
      </c>
      <c r="B115" s="111"/>
      <c r="C115" s="146">
        <v>0</v>
      </c>
      <c r="D115" s="146">
        <v>0</v>
      </c>
      <c r="E115" s="146">
        <v>0</v>
      </c>
      <c r="F115" s="146">
        <v>0</v>
      </c>
      <c r="G115" s="146">
        <v>0</v>
      </c>
      <c r="H115" s="146">
        <v>0</v>
      </c>
      <c r="I115" s="146">
        <v>0</v>
      </c>
      <c r="J115" s="172">
        <f t="shared" si="19"/>
        <v>0</v>
      </c>
      <c r="K115" s="174"/>
      <c r="L115" s="146">
        <v>0</v>
      </c>
      <c r="M115" s="146">
        <v>0</v>
      </c>
      <c r="N115" s="146">
        <v>0</v>
      </c>
      <c r="O115" s="146">
        <v>0</v>
      </c>
      <c r="P115" s="146">
        <v>0</v>
      </c>
      <c r="Q115" s="146">
        <v>0</v>
      </c>
      <c r="R115" s="167">
        <f t="shared" si="20"/>
        <v>0</v>
      </c>
    </row>
    <row r="116" spans="1:18" ht="12">
      <c r="A116" s="20" t="s">
        <v>38</v>
      </c>
      <c r="B116" s="111"/>
      <c r="C116" s="147">
        <f>SUM(C109:C115)</f>
        <v>0</v>
      </c>
      <c r="D116" s="147">
        <f aca="true" t="shared" si="21" ref="D116:R116">SUM(D109:D115)</f>
        <v>0</v>
      </c>
      <c r="E116" s="147">
        <f t="shared" si="21"/>
        <v>0</v>
      </c>
      <c r="F116" s="147">
        <f t="shared" si="21"/>
        <v>0</v>
      </c>
      <c r="G116" s="147">
        <f t="shared" si="21"/>
        <v>0</v>
      </c>
      <c r="H116" s="147">
        <f t="shared" si="21"/>
        <v>0</v>
      </c>
      <c r="I116" s="147">
        <f t="shared" si="21"/>
        <v>0</v>
      </c>
      <c r="J116" s="147">
        <f t="shared" si="21"/>
        <v>0</v>
      </c>
      <c r="K116" s="175"/>
      <c r="L116" s="147">
        <f t="shared" si="21"/>
        <v>0</v>
      </c>
      <c r="M116" s="147">
        <f t="shared" si="21"/>
        <v>0</v>
      </c>
      <c r="N116" s="147">
        <f t="shared" si="21"/>
        <v>0</v>
      </c>
      <c r="O116" s="147">
        <f t="shared" si="21"/>
        <v>0</v>
      </c>
      <c r="P116" s="147">
        <f t="shared" si="21"/>
        <v>0</v>
      </c>
      <c r="Q116" s="147">
        <f t="shared" si="21"/>
        <v>0</v>
      </c>
      <c r="R116" s="147">
        <f t="shared" si="21"/>
        <v>0</v>
      </c>
    </row>
    <row r="117" spans="1:18" ht="12">
      <c r="A117" s="20"/>
      <c r="B117" s="111"/>
      <c r="C117" s="150"/>
      <c r="D117" s="127"/>
      <c r="E117" s="62"/>
      <c r="F117" s="62"/>
      <c r="G117" s="62"/>
      <c r="H117" s="62"/>
      <c r="I117" s="62"/>
      <c r="J117" s="62"/>
      <c r="K117" s="149"/>
      <c r="L117" s="62"/>
      <c r="M117" s="62"/>
      <c r="N117" s="62"/>
      <c r="O117" s="62"/>
      <c r="P117" s="62"/>
      <c r="Q117" s="62"/>
      <c r="R117" s="121"/>
    </row>
    <row r="118" spans="1:18" ht="12">
      <c r="A118" s="20" t="s">
        <v>39</v>
      </c>
      <c r="B118" s="111"/>
      <c r="C118" s="110">
        <f aca="true" t="shared" si="22" ref="C118:R118">C116+C106+C90+C67+C56+C44+C27</f>
        <v>0</v>
      </c>
      <c r="D118" s="110">
        <f t="shared" si="22"/>
        <v>0</v>
      </c>
      <c r="E118" s="110">
        <f t="shared" si="22"/>
        <v>0</v>
      </c>
      <c r="F118" s="110">
        <f t="shared" si="22"/>
        <v>0</v>
      </c>
      <c r="G118" s="110">
        <f t="shared" si="22"/>
        <v>0</v>
      </c>
      <c r="H118" s="110">
        <f t="shared" si="22"/>
        <v>0</v>
      </c>
      <c r="I118" s="110">
        <f t="shared" si="22"/>
        <v>0</v>
      </c>
      <c r="J118" s="136">
        <f t="shared" si="22"/>
        <v>0</v>
      </c>
      <c r="K118" s="111"/>
      <c r="L118" s="110">
        <f t="shared" si="22"/>
        <v>0</v>
      </c>
      <c r="M118" s="110">
        <f t="shared" si="22"/>
        <v>0</v>
      </c>
      <c r="N118" s="110">
        <f t="shared" si="22"/>
        <v>0</v>
      </c>
      <c r="O118" s="110">
        <f t="shared" si="22"/>
        <v>0</v>
      </c>
      <c r="P118" s="110">
        <f t="shared" si="22"/>
        <v>0</v>
      </c>
      <c r="Q118" s="110">
        <f t="shared" si="22"/>
        <v>0</v>
      </c>
      <c r="R118" s="136">
        <f t="shared" si="22"/>
        <v>0</v>
      </c>
    </row>
    <row r="119" spans="1:18" ht="12">
      <c r="A119" s="20"/>
      <c r="B119" s="111"/>
      <c r="C119" s="110"/>
      <c r="D119" s="110"/>
      <c r="E119" s="110"/>
      <c r="F119" s="110"/>
      <c r="G119" s="110"/>
      <c r="H119" s="110"/>
      <c r="I119" s="110"/>
      <c r="J119" s="136"/>
      <c r="K119" s="111"/>
      <c r="L119" s="110"/>
      <c r="M119" s="110"/>
      <c r="N119" s="110"/>
      <c r="O119" s="110"/>
      <c r="P119" s="110"/>
      <c r="Q119" s="110"/>
      <c r="R119" s="121"/>
    </row>
    <row r="120" spans="1:18" ht="12">
      <c r="A120" s="20" t="s">
        <v>136</v>
      </c>
      <c r="B120" s="111"/>
      <c r="C120" s="110">
        <f>C16-C118</f>
        <v>0</v>
      </c>
      <c r="D120" s="110">
        <f aca="true" t="shared" si="23" ref="D120:R120">D16-D118</f>
        <v>0</v>
      </c>
      <c r="E120" s="110">
        <f t="shared" si="23"/>
        <v>0</v>
      </c>
      <c r="F120" s="110">
        <f t="shared" si="23"/>
        <v>0</v>
      </c>
      <c r="G120" s="110">
        <f t="shared" si="23"/>
        <v>0</v>
      </c>
      <c r="H120" s="110">
        <f t="shared" si="23"/>
        <v>0</v>
      </c>
      <c r="I120" s="110">
        <f t="shared" si="23"/>
        <v>0</v>
      </c>
      <c r="J120" s="136">
        <f t="shared" si="23"/>
        <v>0</v>
      </c>
      <c r="K120" s="111"/>
      <c r="L120" s="110">
        <f t="shared" si="23"/>
        <v>0</v>
      </c>
      <c r="M120" s="110">
        <f t="shared" si="23"/>
        <v>0</v>
      </c>
      <c r="N120" s="110">
        <f t="shared" si="23"/>
        <v>0</v>
      </c>
      <c r="O120" s="110">
        <f t="shared" si="23"/>
        <v>0</v>
      </c>
      <c r="P120" s="110">
        <f t="shared" si="23"/>
        <v>0</v>
      </c>
      <c r="Q120" s="110">
        <f t="shared" si="23"/>
        <v>0</v>
      </c>
      <c r="R120" s="136">
        <f t="shared" si="23"/>
        <v>0</v>
      </c>
    </row>
    <row r="121" spans="1:18" ht="12">
      <c r="A121" s="20"/>
      <c r="B121" s="111"/>
      <c r="C121" s="110"/>
      <c r="D121" s="110"/>
      <c r="E121" s="110"/>
      <c r="F121" s="110"/>
      <c r="G121" s="110"/>
      <c r="H121" s="110"/>
      <c r="I121" s="110"/>
      <c r="J121" s="136"/>
      <c r="K121" s="111"/>
      <c r="L121" s="110"/>
      <c r="M121" s="110"/>
      <c r="N121" s="110"/>
      <c r="O121" s="110"/>
      <c r="P121" s="110"/>
      <c r="Q121" s="110"/>
      <c r="R121" s="121"/>
    </row>
    <row r="122" spans="1:18" ht="12">
      <c r="A122" s="16" t="s">
        <v>121</v>
      </c>
      <c r="B122" s="111"/>
      <c r="C122" s="98"/>
      <c r="D122" s="82"/>
      <c r="E122" s="55"/>
      <c r="F122" s="55"/>
      <c r="G122" s="55"/>
      <c r="H122" s="55"/>
      <c r="I122" s="55"/>
      <c r="J122" s="62"/>
      <c r="K122" s="149"/>
      <c r="L122" s="55"/>
      <c r="M122" s="55"/>
      <c r="N122" s="55"/>
      <c r="O122" s="55"/>
      <c r="P122" s="55"/>
      <c r="Q122" s="55"/>
      <c r="R122" s="62"/>
    </row>
    <row r="123" spans="1:18" s="47" customFormat="1" ht="12">
      <c r="A123" s="158" t="s">
        <v>122</v>
      </c>
      <c r="B123" s="154"/>
      <c r="C123" s="148"/>
      <c r="D123" s="79"/>
      <c r="E123" s="149"/>
      <c r="F123" s="149"/>
      <c r="G123" s="149"/>
      <c r="H123" s="149"/>
      <c r="I123" s="149"/>
      <c r="J123" s="62"/>
      <c r="K123" s="149"/>
      <c r="L123" s="149"/>
      <c r="M123" s="149"/>
      <c r="N123" s="149"/>
      <c r="O123" s="149"/>
      <c r="P123" s="149"/>
      <c r="Q123" s="149"/>
      <c r="R123" s="62"/>
    </row>
    <row r="124" spans="1:18" ht="12">
      <c r="A124" s="163" t="s">
        <v>123</v>
      </c>
      <c r="B124" s="111"/>
      <c r="C124" s="164">
        <v>0</v>
      </c>
      <c r="D124" s="164">
        <v>0</v>
      </c>
      <c r="E124" s="164">
        <v>0</v>
      </c>
      <c r="F124" s="164">
        <v>0</v>
      </c>
      <c r="G124" s="164">
        <v>0</v>
      </c>
      <c r="H124" s="164">
        <v>0</v>
      </c>
      <c r="I124" s="164">
        <v>0</v>
      </c>
      <c r="J124" s="62"/>
      <c r="K124" s="149"/>
      <c r="L124" s="164">
        <v>0</v>
      </c>
      <c r="M124" s="164">
        <v>0</v>
      </c>
      <c r="N124" s="164">
        <v>0</v>
      </c>
      <c r="O124" s="164">
        <v>0</v>
      </c>
      <c r="P124" s="164">
        <v>0</v>
      </c>
      <c r="Q124" s="164">
        <v>0</v>
      </c>
      <c r="R124" s="167">
        <f>SUM(L124:Q124)</f>
        <v>0</v>
      </c>
    </row>
    <row r="125" spans="1:18" ht="12">
      <c r="A125" s="163" t="s">
        <v>83</v>
      </c>
      <c r="B125" s="111"/>
      <c r="C125" s="164">
        <v>0</v>
      </c>
      <c r="D125" s="164">
        <v>0</v>
      </c>
      <c r="E125" s="164">
        <v>0</v>
      </c>
      <c r="F125" s="164">
        <v>0</v>
      </c>
      <c r="G125" s="164">
        <v>0</v>
      </c>
      <c r="H125" s="164">
        <v>0</v>
      </c>
      <c r="I125" s="164">
        <v>0</v>
      </c>
      <c r="J125" s="62"/>
      <c r="K125" s="149"/>
      <c r="L125" s="164">
        <v>0</v>
      </c>
      <c r="M125" s="164">
        <v>0</v>
      </c>
      <c r="N125" s="164">
        <v>0</v>
      </c>
      <c r="O125" s="164">
        <v>0</v>
      </c>
      <c r="P125" s="164">
        <v>0</v>
      </c>
      <c r="Q125" s="164">
        <v>0</v>
      </c>
      <c r="R125" s="167">
        <f>SUM(L125:Q125)</f>
        <v>0</v>
      </c>
    </row>
    <row r="126" spans="1:18" ht="12">
      <c r="A126" s="166" t="s">
        <v>124</v>
      </c>
      <c r="B126" s="111"/>
      <c r="C126" s="167">
        <f>SUM(C124:C125)</f>
        <v>0</v>
      </c>
      <c r="D126" s="167">
        <f aca="true" t="shared" si="24" ref="D126:R126">SUM(D124:D125)</f>
        <v>0</v>
      </c>
      <c r="E126" s="167">
        <f t="shared" si="24"/>
        <v>0</v>
      </c>
      <c r="F126" s="167">
        <f t="shared" si="24"/>
        <v>0</v>
      </c>
      <c r="G126" s="167">
        <f t="shared" si="24"/>
        <v>0</v>
      </c>
      <c r="H126" s="167">
        <f t="shared" si="24"/>
        <v>0</v>
      </c>
      <c r="I126" s="167">
        <f t="shared" si="24"/>
        <v>0</v>
      </c>
      <c r="J126" s="167">
        <f t="shared" si="24"/>
        <v>0</v>
      </c>
      <c r="K126" s="177"/>
      <c r="L126" s="167">
        <f t="shared" si="24"/>
        <v>0</v>
      </c>
      <c r="M126" s="167">
        <f t="shared" si="24"/>
        <v>0</v>
      </c>
      <c r="N126" s="167">
        <f t="shared" si="24"/>
        <v>0</v>
      </c>
      <c r="O126" s="167">
        <f t="shared" si="24"/>
        <v>0</v>
      </c>
      <c r="P126" s="167">
        <f t="shared" si="24"/>
        <v>0</v>
      </c>
      <c r="Q126" s="167">
        <f t="shared" si="24"/>
        <v>0</v>
      </c>
      <c r="R126" s="167">
        <f t="shared" si="24"/>
        <v>0</v>
      </c>
    </row>
    <row r="127" spans="1:18" ht="12">
      <c r="A127" s="159" t="s">
        <v>125</v>
      </c>
      <c r="B127" s="109"/>
      <c r="C127" s="55"/>
      <c r="D127" s="82"/>
      <c r="E127" s="55"/>
      <c r="F127" s="55"/>
      <c r="G127" s="55"/>
      <c r="H127" s="55"/>
      <c r="I127" s="55"/>
      <c r="J127" s="62"/>
      <c r="K127" s="149"/>
      <c r="L127" s="55"/>
      <c r="M127" s="55"/>
      <c r="N127" s="55"/>
      <c r="O127" s="55"/>
      <c r="P127" s="55"/>
      <c r="Q127" s="55"/>
      <c r="R127" s="62"/>
    </row>
    <row r="128" spans="1:20" ht="21.75">
      <c r="A128" s="165" t="s">
        <v>133</v>
      </c>
      <c r="B128" s="111"/>
      <c r="C128" s="164">
        <v>0</v>
      </c>
      <c r="D128" s="164">
        <v>0</v>
      </c>
      <c r="E128" s="164">
        <v>0</v>
      </c>
      <c r="F128" s="164">
        <v>0</v>
      </c>
      <c r="G128" s="164">
        <v>0</v>
      </c>
      <c r="H128" s="164">
        <v>0</v>
      </c>
      <c r="I128" s="164">
        <v>0</v>
      </c>
      <c r="J128" s="162">
        <v>0</v>
      </c>
      <c r="K128" s="164"/>
      <c r="L128" s="164">
        <v>0</v>
      </c>
      <c r="M128" s="164">
        <v>0</v>
      </c>
      <c r="N128" s="164">
        <v>0</v>
      </c>
      <c r="O128" s="164">
        <v>0</v>
      </c>
      <c r="P128" s="164">
        <v>0</v>
      </c>
      <c r="Q128" s="164">
        <v>0</v>
      </c>
      <c r="R128" s="167">
        <f>SUM(L128:Q128)</f>
        <v>0</v>
      </c>
      <c r="S128" s="47"/>
      <c r="T128" s="47"/>
    </row>
    <row r="129" spans="1:20" ht="12">
      <c r="A129" s="163" t="s">
        <v>83</v>
      </c>
      <c r="B129" s="111"/>
      <c r="C129" s="164">
        <v>0</v>
      </c>
      <c r="D129" s="164">
        <v>0</v>
      </c>
      <c r="E129" s="164">
        <v>0</v>
      </c>
      <c r="F129" s="164">
        <v>0</v>
      </c>
      <c r="G129" s="164">
        <v>0</v>
      </c>
      <c r="H129" s="164">
        <v>0</v>
      </c>
      <c r="I129" s="164">
        <v>0</v>
      </c>
      <c r="J129" s="162">
        <v>0</v>
      </c>
      <c r="K129" s="164"/>
      <c r="L129" s="164">
        <v>0</v>
      </c>
      <c r="M129" s="164">
        <v>0</v>
      </c>
      <c r="N129" s="164">
        <v>0</v>
      </c>
      <c r="O129" s="164">
        <v>0</v>
      </c>
      <c r="P129" s="164">
        <v>0</v>
      </c>
      <c r="Q129" s="164">
        <v>0</v>
      </c>
      <c r="R129" s="167">
        <f>SUM(L129:Q129)</f>
        <v>0</v>
      </c>
      <c r="S129" s="47"/>
      <c r="T129" s="47"/>
    </row>
    <row r="130" spans="1:18" ht="12">
      <c r="A130" s="166" t="s">
        <v>126</v>
      </c>
      <c r="B130" s="111"/>
      <c r="C130" s="167">
        <f>SUM(C128:C129)</f>
        <v>0</v>
      </c>
      <c r="D130" s="167">
        <f aca="true" t="shared" si="25" ref="D130:R130">SUM(D128:D129)</f>
        <v>0</v>
      </c>
      <c r="E130" s="167">
        <f t="shared" si="25"/>
        <v>0</v>
      </c>
      <c r="F130" s="167">
        <f t="shared" si="25"/>
        <v>0</v>
      </c>
      <c r="G130" s="167">
        <f t="shared" si="25"/>
        <v>0</v>
      </c>
      <c r="H130" s="167">
        <f t="shared" si="25"/>
        <v>0</v>
      </c>
      <c r="I130" s="167">
        <f t="shared" si="25"/>
        <v>0</v>
      </c>
      <c r="J130" s="167">
        <f t="shared" si="25"/>
        <v>0</v>
      </c>
      <c r="K130" s="177"/>
      <c r="L130" s="167">
        <f t="shared" si="25"/>
        <v>0</v>
      </c>
      <c r="M130" s="167">
        <f t="shared" si="25"/>
        <v>0</v>
      </c>
      <c r="N130" s="167">
        <f t="shared" si="25"/>
        <v>0</v>
      </c>
      <c r="O130" s="167">
        <f t="shared" si="25"/>
        <v>0</v>
      </c>
      <c r="P130" s="167">
        <f t="shared" si="25"/>
        <v>0</v>
      </c>
      <c r="Q130" s="167">
        <f t="shared" si="25"/>
        <v>0</v>
      </c>
      <c r="R130" s="167">
        <f t="shared" si="25"/>
        <v>0</v>
      </c>
    </row>
    <row r="131" spans="1:18" ht="12">
      <c r="A131" s="159" t="s">
        <v>127</v>
      </c>
      <c r="B131" s="109"/>
      <c r="C131" s="55"/>
      <c r="D131" s="82"/>
      <c r="E131" s="55"/>
      <c r="F131" s="55"/>
      <c r="G131" s="55"/>
      <c r="H131" s="55"/>
      <c r="I131" s="55"/>
      <c r="J131" s="62"/>
      <c r="K131" s="149"/>
      <c r="L131" s="55"/>
      <c r="M131" s="55"/>
      <c r="N131" s="55"/>
      <c r="O131" s="55"/>
      <c r="P131" s="55"/>
      <c r="Q131" s="55"/>
      <c r="R131" s="62"/>
    </row>
    <row r="132" spans="1:21" ht="21.75">
      <c r="A132" s="165" t="s">
        <v>134</v>
      </c>
      <c r="B132" s="111"/>
      <c r="C132" s="164">
        <v>0</v>
      </c>
      <c r="D132" s="164">
        <v>0</v>
      </c>
      <c r="E132" s="164">
        <v>0</v>
      </c>
      <c r="F132" s="164">
        <v>0</v>
      </c>
      <c r="G132" s="164">
        <v>0</v>
      </c>
      <c r="H132" s="164">
        <v>0</v>
      </c>
      <c r="I132" s="164">
        <v>0</v>
      </c>
      <c r="J132" s="162">
        <v>0</v>
      </c>
      <c r="K132" s="164"/>
      <c r="L132" s="164">
        <v>0</v>
      </c>
      <c r="M132" s="164">
        <v>0</v>
      </c>
      <c r="N132" s="164">
        <v>0</v>
      </c>
      <c r="O132" s="164">
        <v>0</v>
      </c>
      <c r="P132" s="164">
        <v>0</v>
      </c>
      <c r="Q132" s="164">
        <v>0</v>
      </c>
      <c r="R132" s="167">
        <f>SUM(L132:Q132)</f>
        <v>0</v>
      </c>
      <c r="S132" s="47"/>
      <c r="T132" s="47"/>
      <c r="U132" s="47"/>
    </row>
    <row r="133" spans="1:21" ht="12">
      <c r="A133" s="163" t="s">
        <v>83</v>
      </c>
      <c r="B133" s="111"/>
      <c r="C133" s="164">
        <v>0</v>
      </c>
      <c r="D133" s="164">
        <v>0</v>
      </c>
      <c r="E133" s="164">
        <v>0</v>
      </c>
      <c r="F133" s="164">
        <v>0</v>
      </c>
      <c r="G133" s="164">
        <v>0</v>
      </c>
      <c r="H133" s="164">
        <v>0</v>
      </c>
      <c r="I133" s="164">
        <v>0</v>
      </c>
      <c r="J133" s="162">
        <v>0</v>
      </c>
      <c r="K133" s="164"/>
      <c r="L133" s="164">
        <v>0</v>
      </c>
      <c r="M133" s="164">
        <v>0</v>
      </c>
      <c r="N133" s="164">
        <v>0</v>
      </c>
      <c r="O133" s="164">
        <v>0</v>
      </c>
      <c r="P133" s="164">
        <v>0</v>
      </c>
      <c r="Q133" s="164">
        <v>0</v>
      </c>
      <c r="R133" s="167">
        <f>SUM(L133:Q133)</f>
        <v>0</v>
      </c>
      <c r="S133" s="47"/>
      <c r="T133" s="47"/>
      <c r="U133" s="47"/>
    </row>
    <row r="134" spans="1:18" ht="12">
      <c r="A134" s="166" t="s">
        <v>128</v>
      </c>
      <c r="B134" s="111"/>
      <c r="C134" s="167">
        <f aca="true" t="shared" si="26" ref="C134:R134">SUM(C132:C133)</f>
        <v>0</v>
      </c>
      <c r="D134" s="167">
        <f t="shared" si="26"/>
        <v>0</v>
      </c>
      <c r="E134" s="167">
        <f t="shared" si="26"/>
        <v>0</v>
      </c>
      <c r="F134" s="167">
        <f t="shared" si="26"/>
        <v>0</v>
      </c>
      <c r="G134" s="167">
        <f t="shared" si="26"/>
        <v>0</v>
      </c>
      <c r="H134" s="167">
        <f t="shared" si="26"/>
        <v>0</v>
      </c>
      <c r="I134" s="167">
        <f t="shared" si="26"/>
        <v>0</v>
      </c>
      <c r="J134" s="167">
        <f t="shared" si="26"/>
        <v>0</v>
      </c>
      <c r="K134" s="177"/>
      <c r="L134" s="167">
        <f t="shared" si="26"/>
        <v>0</v>
      </c>
      <c r="M134" s="167">
        <f t="shared" si="26"/>
        <v>0</v>
      </c>
      <c r="N134" s="167">
        <f t="shared" si="26"/>
        <v>0</v>
      </c>
      <c r="O134" s="167">
        <f t="shared" si="26"/>
        <v>0</v>
      </c>
      <c r="P134" s="167">
        <f t="shared" si="26"/>
        <v>0</v>
      </c>
      <c r="Q134" s="167">
        <f t="shared" si="26"/>
        <v>0</v>
      </c>
      <c r="R134" s="167">
        <f t="shared" si="26"/>
        <v>0</v>
      </c>
    </row>
    <row r="135" spans="1:18" ht="12">
      <c r="A135" s="160"/>
      <c r="B135" s="154"/>
      <c r="C135" s="55"/>
      <c r="D135" s="82"/>
      <c r="E135" s="55"/>
      <c r="F135" s="55"/>
      <c r="G135" s="55"/>
      <c r="H135" s="55"/>
      <c r="I135" s="55"/>
      <c r="J135" s="62"/>
      <c r="K135" s="149"/>
      <c r="L135" s="55"/>
      <c r="M135" s="55"/>
      <c r="N135" s="55"/>
      <c r="O135" s="55"/>
      <c r="P135" s="55"/>
      <c r="Q135" s="55"/>
      <c r="R135" s="62"/>
    </row>
    <row r="136" spans="1:18" ht="12">
      <c r="A136" s="168" t="s">
        <v>129</v>
      </c>
      <c r="B136" s="155"/>
      <c r="C136" s="167">
        <f>C126+C130+C134</f>
        <v>0</v>
      </c>
      <c r="D136" s="167">
        <f aca="true" t="shared" si="27" ref="D136:R136">D126+D130+D134</f>
        <v>0</v>
      </c>
      <c r="E136" s="167">
        <f t="shared" si="27"/>
        <v>0</v>
      </c>
      <c r="F136" s="167">
        <f t="shared" si="27"/>
        <v>0</v>
      </c>
      <c r="G136" s="167">
        <f t="shared" si="27"/>
        <v>0</v>
      </c>
      <c r="H136" s="167">
        <f t="shared" si="27"/>
        <v>0</v>
      </c>
      <c r="I136" s="167">
        <f t="shared" si="27"/>
        <v>0</v>
      </c>
      <c r="J136" s="167">
        <f t="shared" si="27"/>
        <v>0</v>
      </c>
      <c r="K136" s="177"/>
      <c r="L136" s="167">
        <f t="shared" si="27"/>
        <v>0</v>
      </c>
      <c r="M136" s="167">
        <f t="shared" si="27"/>
        <v>0</v>
      </c>
      <c r="N136" s="167">
        <f t="shared" si="27"/>
        <v>0</v>
      </c>
      <c r="O136" s="167">
        <f t="shared" si="27"/>
        <v>0</v>
      </c>
      <c r="P136" s="167">
        <f t="shared" si="27"/>
        <v>0</v>
      </c>
      <c r="Q136" s="167">
        <f t="shared" si="27"/>
        <v>0</v>
      </c>
      <c r="R136" s="167">
        <f t="shared" si="27"/>
        <v>0</v>
      </c>
    </row>
    <row r="137" spans="1:18" ht="12">
      <c r="A137" s="160"/>
      <c r="B137" s="154"/>
      <c r="C137" s="55"/>
      <c r="D137" s="82"/>
      <c r="E137" s="55"/>
      <c r="F137" s="55"/>
      <c r="G137" s="55"/>
      <c r="H137" s="55"/>
      <c r="I137" s="55"/>
      <c r="J137" s="62"/>
      <c r="K137" s="149"/>
      <c r="L137" s="55"/>
      <c r="M137" s="55"/>
      <c r="N137" s="55"/>
      <c r="O137" s="55"/>
      <c r="P137" s="55"/>
      <c r="Q137" s="55"/>
      <c r="R137" s="62"/>
    </row>
    <row r="138" spans="1:18" ht="12">
      <c r="A138" s="168" t="s">
        <v>130</v>
      </c>
      <c r="B138" s="155"/>
      <c r="C138" s="171">
        <f>C120+C136</f>
        <v>0</v>
      </c>
      <c r="D138" s="171">
        <f aca="true" t="shared" si="28" ref="D138:R138">D120+D136</f>
        <v>0</v>
      </c>
      <c r="E138" s="171">
        <f t="shared" si="28"/>
        <v>0</v>
      </c>
      <c r="F138" s="171">
        <f t="shared" si="28"/>
        <v>0</v>
      </c>
      <c r="G138" s="171">
        <f t="shared" si="28"/>
        <v>0</v>
      </c>
      <c r="H138" s="171">
        <f t="shared" si="28"/>
        <v>0</v>
      </c>
      <c r="I138" s="171">
        <f t="shared" si="28"/>
        <v>0</v>
      </c>
      <c r="J138" s="171">
        <f t="shared" si="28"/>
        <v>0</v>
      </c>
      <c r="K138" s="178"/>
      <c r="L138" s="171">
        <f t="shared" si="28"/>
        <v>0</v>
      </c>
      <c r="M138" s="171">
        <f t="shared" si="28"/>
        <v>0</v>
      </c>
      <c r="N138" s="171">
        <f t="shared" si="28"/>
        <v>0</v>
      </c>
      <c r="O138" s="171">
        <f t="shared" si="28"/>
        <v>0</v>
      </c>
      <c r="P138" s="171">
        <f t="shared" si="28"/>
        <v>0</v>
      </c>
      <c r="Q138" s="171">
        <f t="shared" si="28"/>
        <v>0</v>
      </c>
      <c r="R138" s="171">
        <f t="shared" si="28"/>
        <v>0</v>
      </c>
    </row>
    <row r="139" spans="1:18" ht="12">
      <c r="A139" s="160"/>
      <c r="B139" s="154"/>
      <c r="C139" s="55"/>
      <c r="D139" s="82"/>
      <c r="E139" s="55"/>
      <c r="F139" s="55"/>
      <c r="G139" s="55"/>
      <c r="H139" s="55"/>
      <c r="I139" s="55"/>
      <c r="J139" s="62"/>
      <c r="K139" s="149"/>
      <c r="L139" s="55"/>
      <c r="M139" s="55"/>
      <c r="N139" s="55"/>
      <c r="O139" s="55"/>
      <c r="P139" s="55"/>
      <c r="Q139" s="55"/>
      <c r="R139" s="62"/>
    </row>
    <row r="140" spans="1:18" ht="12">
      <c r="A140" s="161" t="s">
        <v>131</v>
      </c>
      <c r="B140" s="156"/>
      <c r="C140" s="169">
        <v>0</v>
      </c>
      <c r="D140" s="169">
        <v>0</v>
      </c>
      <c r="E140" s="169">
        <v>0</v>
      </c>
      <c r="F140" s="169">
        <v>0</v>
      </c>
      <c r="G140" s="169">
        <v>0</v>
      </c>
      <c r="H140" s="169">
        <v>0</v>
      </c>
      <c r="I140" s="169">
        <v>0</v>
      </c>
      <c r="J140" s="162">
        <v>0</v>
      </c>
      <c r="K140" s="164"/>
      <c r="L140" s="169">
        <v>0</v>
      </c>
      <c r="M140" s="169">
        <v>0</v>
      </c>
      <c r="N140" s="169">
        <v>0</v>
      </c>
      <c r="O140" s="169">
        <v>0</v>
      </c>
      <c r="P140" s="169">
        <v>0</v>
      </c>
      <c r="Q140" s="169">
        <v>0</v>
      </c>
      <c r="R140" s="167">
        <f>SUM(L140:Q140)</f>
        <v>0</v>
      </c>
    </row>
    <row r="141" spans="1:18" ht="12">
      <c r="A141" s="154"/>
      <c r="B141" s="154"/>
      <c r="C141" s="55"/>
      <c r="D141" s="82"/>
      <c r="E141" s="55"/>
      <c r="F141" s="55"/>
      <c r="G141" s="55"/>
      <c r="H141" s="55"/>
      <c r="I141" s="55"/>
      <c r="J141" s="62"/>
      <c r="K141" s="149"/>
      <c r="L141" s="55"/>
      <c r="M141" s="55"/>
      <c r="N141" s="55"/>
      <c r="O141" s="55"/>
      <c r="P141" s="55"/>
      <c r="Q141" s="55"/>
      <c r="R141" s="62"/>
    </row>
    <row r="142" spans="1:18" ht="12">
      <c r="A142" s="168" t="s">
        <v>132</v>
      </c>
      <c r="B142" s="157"/>
      <c r="C142" s="170">
        <f>C138+C140</f>
        <v>0</v>
      </c>
      <c r="D142" s="170">
        <f aca="true" t="shared" si="29" ref="D142:R142">D138+D140</f>
        <v>0</v>
      </c>
      <c r="E142" s="170">
        <f t="shared" si="29"/>
        <v>0</v>
      </c>
      <c r="F142" s="170">
        <f t="shared" si="29"/>
        <v>0</v>
      </c>
      <c r="G142" s="170">
        <f t="shared" si="29"/>
        <v>0</v>
      </c>
      <c r="H142" s="170">
        <f t="shared" si="29"/>
        <v>0</v>
      </c>
      <c r="I142" s="170">
        <f t="shared" si="29"/>
        <v>0</v>
      </c>
      <c r="J142" s="170">
        <f t="shared" si="29"/>
        <v>0</v>
      </c>
      <c r="K142" s="179"/>
      <c r="L142" s="170">
        <f t="shared" si="29"/>
        <v>0</v>
      </c>
      <c r="M142" s="170">
        <f t="shared" si="29"/>
        <v>0</v>
      </c>
      <c r="N142" s="170">
        <f t="shared" si="29"/>
        <v>0</v>
      </c>
      <c r="O142" s="170">
        <f t="shared" si="29"/>
        <v>0</v>
      </c>
      <c r="P142" s="170">
        <f t="shared" si="29"/>
        <v>0</v>
      </c>
      <c r="Q142" s="170">
        <f t="shared" si="29"/>
        <v>0</v>
      </c>
      <c r="R142" s="170">
        <f t="shared" si="29"/>
        <v>0</v>
      </c>
    </row>
  </sheetData>
  <sheetProtection/>
  <mergeCells count="1">
    <mergeCell ref="A3:R3"/>
  </mergeCells>
  <printOptions/>
  <pageMargins left="0.7" right="0.7" top="0.75" bottom="0.75" header="0.3" footer="0.3"/>
  <pageSetup horizontalDpi="1200" verticalDpi="1200" orientation="landscape" scale="91"/>
  <colBreaks count="1" manualBreakCount="1">
    <brk id="11" max="121" man="1"/>
  </colBreaks>
</worksheet>
</file>

<file path=xl/worksheets/sheet17.xml><?xml version="1.0" encoding="utf-8"?>
<worksheet xmlns="http://schemas.openxmlformats.org/spreadsheetml/2006/main" xmlns:r="http://schemas.openxmlformats.org/officeDocument/2006/relationships">
  <sheetPr>
    <tabColor rgb="FF00B050"/>
  </sheetPr>
  <dimension ref="A1:AC60"/>
  <sheetViews>
    <sheetView workbookViewId="0" topLeftCell="A1">
      <selection activeCell="G17" sqref="G17"/>
    </sheetView>
  </sheetViews>
  <sheetFormatPr defaultColWidth="15.7109375" defaultRowHeight="15"/>
  <cols>
    <col min="1" max="1" width="33.140625" style="48" customWidth="1"/>
    <col min="2" max="2" width="14.421875" style="48" customWidth="1"/>
    <col min="3" max="5" width="15.7109375" style="48" customWidth="1"/>
    <col min="6" max="29" width="15.7109375" style="45" customWidth="1"/>
    <col min="30" max="16384" width="15.7109375" style="48" customWidth="1"/>
  </cols>
  <sheetData>
    <row r="1" spans="1:6" ht="18" customHeight="1">
      <c r="A1" s="301" t="s">
        <v>142</v>
      </c>
      <c r="B1" s="301"/>
      <c r="C1" s="301"/>
      <c r="D1" s="301"/>
      <c r="E1" s="301"/>
      <c r="F1" s="301"/>
    </row>
    <row r="2" spans="1:29" s="4" customFormat="1" ht="41.25" customHeight="1">
      <c r="A2" s="302" t="s">
        <v>152</v>
      </c>
      <c r="B2" s="302"/>
      <c r="C2" s="302"/>
      <c r="D2" s="302"/>
      <c r="E2" s="302"/>
      <c r="F2" s="302"/>
      <c r="G2" s="3"/>
      <c r="H2" s="3"/>
      <c r="I2" s="3"/>
      <c r="J2" s="3"/>
      <c r="K2" s="3"/>
      <c r="L2" s="3"/>
      <c r="M2" s="3"/>
      <c r="N2" s="3"/>
      <c r="O2" s="3"/>
      <c r="P2" s="3"/>
      <c r="Q2" s="3"/>
      <c r="R2" s="3"/>
      <c r="S2" s="3"/>
      <c r="T2" s="3"/>
      <c r="U2" s="3"/>
      <c r="V2" s="3"/>
      <c r="W2" s="3"/>
      <c r="X2" s="3"/>
      <c r="Y2" s="3"/>
      <c r="Z2" s="3"/>
      <c r="AA2" s="3"/>
      <c r="AB2" s="3"/>
      <c r="AC2" s="3"/>
    </row>
    <row r="3" spans="1:29" s="6" customFormat="1" ht="12.75" thickBot="1">
      <c r="A3" s="5"/>
      <c r="B3" s="3"/>
      <c r="C3" s="3"/>
      <c r="D3" s="3"/>
      <c r="E3" s="3"/>
      <c r="F3" s="3"/>
      <c r="G3" s="3"/>
      <c r="H3" s="3"/>
      <c r="I3" s="3"/>
      <c r="J3" s="3"/>
      <c r="K3" s="3"/>
      <c r="L3" s="3"/>
      <c r="M3" s="3"/>
      <c r="N3" s="3"/>
      <c r="O3" s="3"/>
      <c r="P3" s="3"/>
      <c r="Q3" s="3"/>
      <c r="R3" s="3"/>
      <c r="S3" s="3"/>
      <c r="T3" s="3"/>
      <c r="U3" s="3"/>
      <c r="V3" s="3"/>
      <c r="W3" s="3"/>
      <c r="X3" s="3"/>
      <c r="Y3" s="3"/>
      <c r="Z3" s="3"/>
      <c r="AA3" s="3"/>
      <c r="AB3" s="3"/>
      <c r="AC3" s="3"/>
    </row>
    <row r="4" spans="1:29" s="6" customFormat="1" ht="18.75" customHeight="1" thickBot="1">
      <c r="A4" s="303" t="s">
        <v>57</v>
      </c>
      <c r="B4" s="304"/>
      <c r="C4" s="304"/>
      <c r="D4" s="304"/>
      <c r="E4" s="304"/>
      <c r="F4" s="305"/>
      <c r="G4" s="3"/>
      <c r="H4" s="3"/>
      <c r="I4" s="3"/>
      <c r="J4" s="3"/>
      <c r="K4" s="3"/>
      <c r="L4" s="3"/>
      <c r="M4" s="3"/>
      <c r="N4" s="3"/>
      <c r="O4" s="3"/>
      <c r="P4" s="3"/>
      <c r="Q4" s="3"/>
      <c r="R4" s="3"/>
      <c r="S4" s="3"/>
      <c r="T4" s="3"/>
      <c r="U4" s="3"/>
      <c r="V4" s="3"/>
      <c r="W4" s="3"/>
      <c r="X4" s="3"/>
      <c r="Y4" s="3"/>
      <c r="Z4" s="3"/>
      <c r="AA4" s="3"/>
      <c r="AB4" s="3"/>
      <c r="AC4" s="3"/>
    </row>
    <row r="5" spans="1:28" s="6" customFormat="1" ht="50.25" customHeight="1" thickBot="1">
      <c r="A5" s="307" t="s">
        <v>289</v>
      </c>
      <c r="B5" s="308"/>
      <c r="C5" s="308"/>
      <c r="D5" s="308"/>
      <c r="E5" s="308"/>
      <c r="F5" s="309"/>
      <c r="G5" s="3"/>
      <c r="H5" s="3"/>
      <c r="I5" s="3"/>
      <c r="J5" s="3"/>
      <c r="K5" s="3"/>
      <c r="L5" s="3"/>
      <c r="M5" s="3"/>
      <c r="N5" s="3"/>
      <c r="O5" s="3"/>
      <c r="P5" s="3"/>
      <c r="Q5" s="3"/>
      <c r="R5" s="3"/>
      <c r="S5" s="3"/>
      <c r="T5" s="3"/>
      <c r="U5" s="3"/>
      <c r="V5" s="3"/>
      <c r="W5" s="3"/>
      <c r="X5" s="3"/>
      <c r="Y5" s="3"/>
      <c r="Z5" s="3"/>
      <c r="AA5" s="3"/>
      <c r="AB5" s="3"/>
    </row>
    <row r="6" spans="1:28" s="4" customFormat="1" ht="27" customHeight="1" thickBot="1">
      <c r="A6" s="21" t="s">
        <v>68</v>
      </c>
      <c r="B6" s="21" t="s">
        <v>71</v>
      </c>
      <c r="C6" s="21" t="s">
        <v>72</v>
      </c>
      <c r="D6" s="67" t="s">
        <v>69</v>
      </c>
      <c r="E6" s="21" t="s">
        <v>67</v>
      </c>
      <c r="F6" s="21" t="s">
        <v>70</v>
      </c>
      <c r="G6" s="3"/>
      <c r="H6" s="3"/>
      <c r="I6" s="3"/>
      <c r="J6" s="3"/>
      <c r="K6" s="3"/>
      <c r="L6" s="3"/>
      <c r="M6" s="3"/>
      <c r="N6" s="3"/>
      <c r="O6" s="3"/>
      <c r="P6" s="3"/>
      <c r="Q6" s="3"/>
      <c r="R6" s="3"/>
      <c r="S6" s="3"/>
      <c r="T6" s="3"/>
      <c r="U6" s="3"/>
      <c r="V6" s="3"/>
      <c r="W6" s="3"/>
      <c r="X6" s="3"/>
      <c r="Y6" s="3"/>
      <c r="Z6" s="3"/>
      <c r="AA6" s="3"/>
      <c r="AB6" s="3"/>
    </row>
    <row r="7" spans="1:28" s="6" customFormat="1" ht="12">
      <c r="A7" s="9"/>
      <c r="B7" s="9"/>
      <c r="C7" s="68"/>
      <c r="D7" s="69">
        <f>B7*C7</f>
        <v>0</v>
      </c>
      <c r="E7" s="69"/>
      <c r="F7" s="70">
        <f>D7+E7</f>
        <v>0</v>
      </c>
      <c r="G7" s="3"/>
      <c r="H7" s="3"/>
      <c r="I7" s="3"/>
      <c r="J7" s="3"/>
      <c r="K7" s="3"/>
      <c r="L7" s="3"/>
      <c r="M7" s="3"/>
      <c r="N7" s="3"/>
      <c r="O7" s="3"/>
      <c r="P7" s="3"/>
      <c r="Q7" s="3"/>
      <c r="R7" s="3"/>
      <c r="S7" s="3"/>
      <c r="T7" s="3"/>
      <c r="U7" s="3"/>
      <c r="V7" s="3"/>
      <c r="W7" s="3"/>
      <c r="X7" s="3"/>
      <c r="Y7" s="3"/>
      <c r="Z7" s="3"/>
      <c r="AA7" s="3"/>
      <c r="AB7" s="3"/>
    </row>
    <row r="8" spans="1:28" s="6" customFormat="1" ht="12">
      <c r="A8" s="7"/>
      <c r="B8" s="7"/>
      <c r="C8" s="71"/>
      <c r="D8" s="69">
        <f aca="true" t="shared" si="0" ref="D8:D46">B8*C8</f>
        <v>0</v>
      </c>
      <c r="E8" s="72"/>
      <c r="F8" s="70">
        <f aca="true" t="shared" si="1" ref="F8:F46">D8+E8</f>
        <v>0</v>
      </c>
      <c r="G8" s="3"/>
      <c r="H8" s="3"/>
      <c r="I8" s="3"/>
      <c r="J8" s="3"/>
      <c r="K8" s="3"/>
      <c r="L8" s="3"/>
      <c r="M8" s="3"/>
      <c r="N8" s="3"/>
      <c r="O8" s="3"/>
      <c r="P8" s="3"/>
      <c r="Q8" s="3"/>
      <c r="R8" s="3"/>
      <c r="S8" s="3"/>
      <c r="T8" s="3"/>
      <c r="U8" s="3"/>
      <c r="V8" s="3"/>
      <c r="W8" s="3"/>
      <c r="X8" s="3"/>
      <c r="Y8" s="3"/>
      <c r="Z8" s="3"/>
      <c r="AA8" s="3"/>
      <c r="AB8" s="3"/>
    </row>
    <row r="9" spans="1:28" s="6" customFormat="1" ht="12">
      <c r="A9" s="7"/>
      <c r="B9" s="7"/>
      <c r="C9" s="97"/>
      <c r="D9" s="69">
        <f t="shared" si="0"/>
        <v>0</v>
      </c>
      <c r="E9" s="72"/>
      <c r="F9" s="70">
        <f t="shared" si="1"/>
        <v>0</v>
      </c>
      <c r="G9" s="3"/>
      <c r="H9" s="3"/>
      <c r="I9" s="3"/>
      <c r="J9" s="3"/>
      <c r="K9" s="3"/>
      <c r="L9" s="3"/>
      <c r="M9" s="3"/>
      <c r="N9" s="3"/>
      <c r="O9" s="3"/>
      <c r="P9" s="3"/>
      <c r="Q9" s="3"/>
      <c r="R9" s="3"/>
      <c r="S9" s="3"/>
      <c r="T9" s="3"/>
      <c r="U9" s="3"/>
      <c r="V9" s="3"/>
      <c r="W9" s="3"/>
      <c r="X9" s="3"/>
      <c r="Y9" s="3"/>
      <c r="Z9" s="3"/>
      <c r="AA9" s="3"/>
      <c r="AB9" s="3"/>
    </row>
    <row r="10" spans="1:6" ht="12">
      <c r="A10" s="98"/>
      <c r="B10" s="98"/>
      <c r="C10" s="97"/>
      <c r="D10" s="69">
        <f t="shared" si="0"/>
        <v>0</v>
      </c>
      <c r="E10" s="99"/>
      <c r="F10" s="70">
        <f t="shared" si="1"/>
        <v>0</v>
      </c>
    </row>
    <row r="11" spans="1:6" ht="12">
      <c r="A11" s="55"/>
      <c r="B11" s="55"/>
      <c r="C11" s="97"/>
      <c r="D11" s="69">
        <f t="shared" si="0"/>
        <v>0</v>
      </c>
      <c r="E11" s="99"/>
      <c r="F11" s="70">
        <f t="shared" si="1"/>
        <v>0</v>
      </c>
    </row>
    <row r="12" spans="1:6" ht="12">
      <c r="A12" s="55"/>
      <c r="B12" s="55"/>
      <c r="C12" s="97"/>
      <c r="D12" s="69">
        <f t="shared" si="0"/>
        <v>0</v>
      </c>
      <c r="E12" s="99"/>
      <c r="F12" s="70">
        <f t="shared" si="1"/>
        <v>0</v>
      </c>
    </row>
    <row r="13" spans="1:6" ht="12">
      <c r="A13" s="55"/>
      <c r="B13" s="55"/>
      <c r="C13" s="97"/>
      <c r="D13" s="69">
        <f t="shared" si="0"/>
        <v>0</v>
      </c>
      <c r="E13" s="99"/>
      <c r="F13" s="70">
        <f t="shared" si="1"/>
        <v>0</v>
      </c>
    </row>
    <row r="14" spans="1:6" ht="12">
      <c r="A14" s="55"/>
      <c r="B14" s="55"/>
      <c r="C14" s="97"/>
      <c r="D14" s="69">
        <f t="shared" si="0"/>
        <v>0</v>
      </c>
      <c r="E14" s="99"/>
      <c r="F14" s="70">
        <f t="shared" si="1"/>
        <v>0</v>
      </c>
    </row>
    <row r="15" spans="1:28" s="6" customFormat="1" ht="12">
      <c r="A15" s="7"/>
      <c r="B15" s="7"/>
      <c r="C15" s="97"/>
      <c r="D15" s="69">
        <f t="shared" si="0"/>
        <v>0</v>
      </c>
      <c r="E15" s="72"/>
      <c r="F15" s="70">
        <f t="shared" si="1"/>
        <v>0</v>
      </c>
      <c r="G15" s="3"/>
      <c r="H15" s="3"/>
      <c r="I15" s="3"/>
      <c r="J15" s="3"/>
      <c r="K15" s="3"/>
      <c r="L15" s="3"/>
      <c r="M15" s="3"/>
      <c r="N15" s="3"/>
      <c r="O15" s="3"/>
      <c r="P15" s="3"/>
      <c r="Q15" s="3"/>
      <c r="R15" s="3"/>
      <c r="S15" s="3"/>
      <c r="T15" s="3"/>
      <c r="U15" s="3"/>
      <c r="V15" s="3"/>
      <c r="W15" s="3"/>
      <c r="X15" s="3"/>
      <c r="Y15" s="3"/>
      <c r="Z15" s="3"/>
      <c r="AA15" s="3"/>
      <c r="AB15" s="3"/>
    </row>
    <row r="16" spans="1:6" ht="12">
      <c r="A16" s="98"/>
      <c r="B16" s="98"/>
      <c r="C16" s="97"/>
      <c r="D16" s="69">
        <f t="shared" si="0"/>
        <v>0</v>
      </c>
      <c r="E16" s="99"/>
      <c r="F16" s="70">
        <f t="shared" si="1"/>
        <v>0</v>
      </c>
    </row>
    <row r="17" spans="1:6" ht="12">
      <c r="A17" s="55"/>
      <c r="B17" s="55"/>
      <c r="C17" s="97"/>
      <c r="D17" s="69">
        <f t="shared" si="0"/>
        <v>0</v>
      </c>
      <c r="E17" s="99"/>
      <c r="F17" s="70">
        <f t="shared" si="1"/>
        <v>0</v>
      </c>
    </row>
    <row r="18" spans="1:6" ht="12">
      <c r="A18" s="55"/>
      <c r="B18" s="55"/>
      <c r="C18" s="97"/>
      <c r="D18" s="69">
        <f t="shared" si="0"/>
        <v>0</v>
      </c>
      <c r="E18" s="99"/>
      <c r="F18" s="70">
        <f t="shared" si="1"/>
        <v>0</v>
      </c>
    </row>
    <row r="19" spans="1:6" ht="12">
      <c r="A19" s="55"/>
      <c r="B19" s="55"/>
      <c r="C19" s="97"/>
      <c r="D19" s="69">
        <f t="shared" si="0"/>
        <v>0</v>
      </c>
      <c r="E19" s="99"/>
      <c r="F19" s="70">
        <f t="shared" si="1"/>
        <v>0</v>
      </c>
    </row>
    <row r="20" spans="1:6" ht="12">
      <c r="A20" s="55"/>
      <c r="B20" s="55"/>
      <c r="C20" s="97"/>
      <c r="D20" s="69">
        <f t="shared" si="0"/>
        <v>0</v>
      </c>
      <c r="E20" s="99"/>
      <c r="F20" s="70">
        <f t="shared" si="1"/>
        <v>0</v>
      </c>
    </row>
    <row r="21" spans="1:6" ht="12">
      <c r="A21" s="55"/>
      <c r="B21" s="55"/>
      <c r="C21" s="97"/>
      <c r="D21" s="69">
        <f t="shared" si="0"/>
        <v>0</v>
      </c>
      <c r="E21" s="99"/>
      <c r="F21" s="70">
        <f t="shared" si="1"/>
        <v>0</v>
      </c>
    </row>
    <row r="22" spans="1:6" ht="12">
      <c r="A22" s="55"/>
      <c r="B22" s="55"/>
      <c r="C22" s="97"/>
      <c r="D22" s="69">
        <f t="shared" si="0"/>
        <v>0</v>
      </c>
      <c r="E22" s="99"/>
      <c r="F22" s="70">
        <f t="shared" si="1"/>
        <v>0</v>
      </c>
    </row>
    <row r="23" spans="1:28" s="6" customFormat="1" ht="12">
      <c r="A23" s="7"/>
      <c r="B23" s="7"/>
      <c r="C23" s="97"/>
      <c r="D23" s="69">
        <f t="shared" si="0"/>
        <v>0</v>
      </c>
      <c r="E23" s="72"/>
      <c r="F23" s="70">
        <f t="shared" si="1"/>
        <v>0</v>
      </c>
      <c r="G23" s="3"/>
      <c r="H23" s="3"/>
      <c r="I23" s="3"/>
      <c r="J23" s="3"/>
      <c r="K23" s="3"/>
      <c r="L23" s="3"/>
      <c r="M23" s="3"/>
      <c r="N23" s="3"/>
      <c r="O23" s="3"/>
      <c r="P23" s="3"/>
      <c r="Q23" s="3"/>
      <c r="R23" s="3"/>
      <c r="S23" s="3"/>
      <c r="T23" s="3"/>
      <c r="U23" s="3"/>
      <c r="V23" s="3"/>
      <c r="W23" s="3"/>
      <c r="X23" s="3"/>
      <c r="Y23" s="3"/>
      <c r="Z23" s="3"/>
      <c r="AA23" s="3"/>
      <c r="AB23" s="3"/>
    </row>
    <row r="24" spans="1:6" ht="12">
      <c r="A24" s="98"/>
      <c r="B24" s="98"/>
      <c r="C24" s="97"/>
      <c r="D24" s="69">
        <f t="shared" si="0"/>
        <v>0</v>
      </c>
      <c r="E24" s="99"/>
      <c r="F24" s="70">
        <f t="shared" si="1"/>
        <v>0</v>
      </c>
    </row>
    <row r="25" spans="1:6" ht="12">
      <c r="A25" s="55"/>
      <c r="B25" s="55"/>
      <c r="C25" s="97"/>
      <c r="D25" s="69">
        <f t="shared" si="0"/>
        <v>0</v>
      </c>
      <c r="E25" s="99"/>
      <c r="F25" s="70">
        <f t="shared" si="1"/>
        <v>0</v>
      </c>
    </row>
    <row r="26" spans="1:6" ht="12">
      <c r="A26" s="55"/>
      <c r="B26" s="55"/>
      <c r="C26" s="97"/>
      <c r="D26" s="69">
        <f t="shared" si="0"/>
        <v>0</v>
      </c>
      <c r="E26" s="99"/>
      <c r="F26" s="70">
        <f t="shared" si="1"/>
        <v>0</v>
      </c>
    </row>
    <row r="27" spans="1:6" ht="12">
      <c r="A27" s="55"/>
      <c r="B27" s="55"/>
      <c r="C27" s="97"/>
      <c r="D27" s="69">
        <f t="shared" si="0"/>
        <v>0</v>
      </c>
      <c r="E27" s="99"/>
      <c r="F27" s="70">
        <f t="shared" si="1"/>
        <v>0</v>
      </c>
    </row>
    <row r="28" spans="1:6" ht="12">
      <c r="A28" s="55"/>
      <c r="B28" s="55"/>
      <c r="C28" s="97"/>
      <c r="D28" s="69">
        <f t="shared" si="0"/>
        <v>0</v>
      </c>
      <c r="E28" s="99"/>
      <c r="F28" s="70">
        <f t="shared" si="1"/>
        <v>0</v>
      </c>
    </row>
    <row r="29" spans="1:6" ht="12">
      <c r="A29" s="55"/>
      <c r="B29" s="55"/>
      <c r="C29" s="97"/>
      <c r="D29" s="69">
        <f t="shared" si="0"/>
        <v>0</v>
      </c>
      <c r="E29" s="99"/>
      <c r="F29" s="70">
        <f t="shared" si="1"/>
        <v>0</v>
      </c>
    </row>
    <row r="30" spans="1:6" ht="12">
      <c r="A30" s="55"/>
      <c r="B30" s="55"/>
      <c r="C30" s="97"/>
      <c r="D30" s="69">
        <f t="shared" si="0"/>
        <v>0</v>
      </c>
      <c r="E30" s="99"/>
      <c r="F30" s="70">
        <f t="shared" si="1"/>
        <v>0</v>
      </c>
    </row>
    <row r="31" spans="1:6" ht="12">
      <c r="A31" s="55"/>
      <c r="B31" s="55"/>
      <c r="C31" s="97"/>
      <c r="D31" s="69">
        <f t="shared" si="0"/>
        <v>0</v>
      </c>
      <c r="E31" s="99"/>
      <c r="F31" s="70">
        <f t="shared" si="1"/>
        <v>0</v>
      </c>
    </row>
    <row r="32" spans="1:6" ht="12">
      <c r="A32" s="55"/>
      <c r="B32" s="55"/>
      <c r="C32" s="97"/>
      <c r="D32" s="69">
        <f t="shared" si="0"/>
        <v>0</v>
      </c>
      <c r="E32" s="99"/>
      <c r="F32" s="70">
        <f t="shared" si="1"/>
        <v>0</v>
      </c>
    </row>
    <row r="33" spans="1:6" ht="12">
      <c r="A33" s="55"/>
      <c r="B33" s="55"/>
      <c r="C33" s="97"/>
      <c r="D33" s="69">
        <f t="shared" si="0"/>
        <v>0</v>
      </c>
      <c r="E33" s="99"/>
      <c r="F33" s="70">
        <f t="shared" si="1"/>
        <v>0</v>
      </c>
    </row>
    <row r="34" spans="1:6" ht="12">
      <c r="A34" s="55"/>
      <c r="B34" s="55"/>
      <c r="C34" s="97"/>
      <c r="D34" s="69">
        <f t="shared" si="0"/>
        <v>0</v>
      </c>
      <c r="E34" s="99"/>
      <c r="F34" s="70">
        <f t="shared" si="1"/>
        <v>0</v>
      </c>
    </row>
    <row r="35" spans="1:6" ht="12">
      <c r="A35" s="55"/>
      <c r="B35" s="55"/>
      <c r="C35" s="97"/>
      <c r="D35" s="69">
        <f t="shared" si="0"/>
        <v>0</v>
      </c>
      <c r="E35" s="99"/>
      <c r="F35" s="70">
        <f t="shared" si="1"/>
        <v>0</v>
      </c>
    </row>
    <row r="36" spans="1:6" ht="12">
      <c r="A36" s="55"/>
      <c r="B36" s="55"/>
      <c r="C36" s="97"/>
      <c r="D36" s="69">
        <f t="shared" si="0"/>
        <v>0</v>
      </c>
      <c r="E36" s="99"/>
      <c r="F36" s="70">
        <f t="shared" si="1"/>
        <v>0</v>
      </c>
    </row>
    <row r="37" spans="1:6" ht="12">
      <c r="A37" s="55"/>
      <c r="B37" s="55"/>
      <c r="C37" s="97"/>
      <c r="D37" s="69">
        <f t="shared" si="0"/>
        <v>0</v>
      </c>
      <c r="E37" s="99"/>
      <c r="F37" s="70">
        <f t="shared" si="1"/>
        <v>0</v>
      </c>
    </row>
    <row r="38" spans="1:6" ht="12">
      <c r="A38" s="55"/>
      <c r="B38" s="55"/>
      <c r="C38" s="97"/>
      <c r="D38" s="69">
        <f t="shared" si="0"/>
        <v>0</v>
      </c>
      <c r="E38" s="99"/>
      <c r="F38" s="70">
        <f t="shared" si="1"/>
        <v>0</v>
      </c>
    </row>
    <row r="39" spans="1:6" ht="12">
      <c r="A39" s="55"/>
      <c r="B39" s="55"/>
      <c r="C39" s="97"/>
      <c r="D39" s="69">
        <f t="shared" si="0"/>
        <v>0</v>
      </c>
      <c r="E39" s="99"/>
      <c r="F39" s="70">
        <f t="shared" si="1"/>
        <v>0</v>
      </c>
    </row>
    <row r="40" spans="1:6" ht="12">
      <c r="A40" s="55"/>
      <c r="B40" s="55"/>
      <c r="C40" s="97"/>
      <c r="D40" s="69">
        <f t="shared" si="0"/>
        <v>0</v>
      </c>
      <c r="E40" s="99"/>
      <c r="F40" s="70">
        <f t="shared" si="1"/>
        <v>0</v>
      </c>
    </row>
    <row r="41" spans="1:6" ht="12">
      <c r="A41" s="55"/>
      <c r="B41" s="55"/>
      <c r="C41" s="97"/>
      <c r="D41" s="69">
        <f t="shared" si="0"/>
        <v>0</v>
      </c>
      <c r="E41" s="99"/>
      <c r="F41" s="70">
        <f t="shared" si="1"/>
        <v>0</v>
      </c>
    </row>
    <row r="42" spans="1:6" ht="12">
      <c r="A42" s="100"/>
      <c r="B42" s="100"/>
      <c r="C42" s="101"/>
      <c r="D42" s="69">
        <f t="shared" si="0"/>
        <v>0</v>
      </c>
      <c r="E42" s="102"/>
      <c r="F42" s="70">
        <f t="shared" si="1"/>
        <v>0</v>
      </c>
    </row>
    <row r="43" spans="1:6" ht="12">
      <c r="A43" s="100"/>
      <c r="B43" s="100"/>
      <c r="C43" s="101"/>
      <c r="D43" s="69">
        <f t="shared" si="0"/>
        <v>0</v>
      </c>
      <c r="E43" s="102"/>
      <c r="F43" s="70">
        <f t="shared" si="1"/>
        <v>0</v>
      </c>
    </row>
    <row r="44" spans="1:6" ht="12">
      <c r="A44" s="100"/>
      <c r="B44" s="100"/>
      <c r="C44" s="101"/>
      <c r="D44" s="69">
        <f t="shared" si="0"/>
        <v>0</v>
      </c>
      <c r="E44" s="102"/>
      <c r="F44" s="70">
        <f t="shared" si="1"/>
        <v>0</v>
      </c>
    </row>
    <row r="45" spans="1:6" ht="12">
      <c r="A45" s="100"/>
      <c r="B45" s="100"/>
      <c r="C45" s="101"/>
      <c r="D45" s="69">
        <f t="shared" si="0"/>
        <v>0</v>
      </c>
      <c r="E45" s="102"/>
      <c r="F45" s="70">
        <f t="shared" si="1"/>
        <v>0</v>
      </c>
    </row>
    <row r="46" spans="1:6" ht="12.75" thickBot="1">
      <c r="A46" s="100"/>
      <c r="B46" s="100"/>
      <c r="C46" s="101"/>
      <c r="D46" s="69">
        <f t="shared" si="0"/>
        <v>0</v>
      </c>
      <c r="E46" s="102"/>
      <c r="F46" s="70">
        <f t="shared" si="1"/>
        <v>0</v>
      </c>
    </row>
    <row r="47" spans="1:6" ht="12.75" thickBot="1">
      <c r="A47" s="8" t="s">
        <v>40</v>
      </c>
      <c r="B47" s="8"/>
      <c r="C47" s="103"/>
      <c r="D47" s="104">
        <f>SUM(D7:D46)</f>
        <v>0</v>
      </c>
      <c r="E47" s="104">
        <f>SUM(E7:E46)</f>
        <v>0</v>
      </c>
      <c r="F47" s="105">
        <f>SUM(F7:F46)</f>
        <v>0</v>
      </c>
    </row>
    <row r="60" spans="6:29" ht="12">
      <c r="F60" s="48"/>
      <c r="G60" s="48"/>
      <c r="H60" s="48"/>
      <c r="I60" s="48"/>
      <c r="J60" s="48"/>
      <c r="K60" s="48"/>
      <c r="L60" s="48"/>
      <c r="M60" s="48"/>
      <c r="N60" s="48"/>
      <c r="O60" s="48"/>
      <c r="P60" s="48"/>
      <c r="Q60" s="48"/>
      <c r="R60" s="48"/>
      <c r="S60" s="48"/>
      <c r="T60" s="48"/>
      <c r="U60" s="48"/>
      <c r="V60" s="48"/>
      <c r="W60" s="48"/>
      <c r="X60" s="48"/>
      <c r="Y60" s="48"/>
      <c r="Z60" s="48"/>
      <c r="AA60" s="48"/>
      <c r="AB60" s="48"/>
      <c r="AC60" s="48"/>
    </row>
  </sheetData>
  <sheetProtection/>
  <mergeCells count="4">
    <mergeCell ref="A1:F1"/>
    <mergeCell ref="A2:F2"/>
    <mergeCell ref="A4:F4"/>
    <mergeCell ref="A5:F5"/>
  </mergeCells>
  <printOptions/>
  <pageMargins left="0.7" right="0.7" top="0.75" bottom="0.75" header="0.3" footer="0.3"/>
  <pageSetup horizontalDpi="1200" verticalDpi="1200" orientation="portrait"/>
</worksheet>
</file>

<file path=xl/worksheets/sheet2.xml><?xml version="1.0" encoding="utf-8"?>
<worksheet xmlns="http://schemas.openxmlformats.org/spreadsheetml/2006/main" xmlns:r="http://schemas.openxmlformats.org/officeDocument/2006/relationships">
  <sheetPr>
    <tabColor theme="9" tint="-0.24997000396251678"/>
  </sheetPr>
  <dimension ref="A1:U30"/>
  <sheetViews>
    <sheetView workbookViewId="0" topLeftCell="A1">
      <selection activeCell="A1" sqref="A1"/>
    </sheetView>
  </sheetViews>
  <sheetFormatPr defaultColWidth="11.57421875" defaultRowHeight="15"/>
  <cols>
    <col min="1" max="1" width="18.00390625" style="2" customWidth="1"/>
    <col min="2" max="3" width="10.28125" style="2" bestFit="1" customWidth="1"/>
    <col min="4" max="14" width="6.7109375" style="2" customWidth="1"/>
    <col min="15" max="15" width="10.421875" style="2" customWidth="1"/>
    <col min="16" max="17" width="7.7109375" style="2" customWidth="1"/>
    <col min="18" max="18" width="12.7109375" style="2" customWidth="1"/>
    <col min="19" max="16384" width="11.421875" style="2" customWidth="1"/>
  </cols>
  <sheetData>
    <row r="1" spans="1:5" s="48" customFormat="1" ht="12">
      <c r="A1" s="120" t="s">
        <v>86</v>
      </c>
      <c r="B1" s="119" t="s">
        <v>171</v>
      </c>
      <c r="C1" s="93"/>
      <c r="E1" s="49"/>
    </row>
    <row r="2" spans="2:5" s="48" customFormat="1" ht="12">
      <c r="B2" s="119"/>
      <c r="C2" s="93"/>
      <c r="E2" s="49"/>
    </row>
    <row r="3" ht="15.75">
      <c r="A3" s="30" t="s">
        <v>64</v>
      </c>
    </row>
    <row r="5" spans="1:18" ht="19.5" customHeight="1">
      <c r="A5" s="292" t="s">
        <v>62</v>
      </c>
      <c r="B5" s="293"/>
      <c r="C5" s="293"/>
      <c r="D5" s="293"/>
      <c r="E5" s="293"/>
      <c r="F5" s="293"/>
      <c r="G5" s="293"/>
      <c r="H5" s="293"/>
      <c r="I5" s="293"/>
      <c r="J5" s="293"/>
      <c r="K5" s="293"/>
      <c r="L5" s="293"/>
      <c r="M5" s="293"/>
      <c r="N5" s="293"/>
      <c r="O5" s="293"/>
      <c r="P5" s="293"/>
      <c r="Q5" s="293"/>
      <c r="R5" s="294"/>
    </row>
    <row r="6" spans="1:18" s="11" customFormat="1" ht="36">
      <c r="A6" s="25" t="s">
        <v>59</v>
      </c>
      <c r="B6" s="25" t="s">
        <v>58</v>
      </c>
      <c r="C6" s="25">
        <v>1</v>
      </c>
      <c r="D6" s="25">
        <v>2</v>
      </c>
      <c r="E6" s="25">
        <v>3</v>
      </c>
      <c r="F6" s="25">
        <v>4</v>
      </c>
      <c r="G6" s="25">
        <v>5</v>
      </c>
      <c r="H6" s="25">
        <v>6</v>
      </c>
      <c r="I6" s="25">
        <v>7</v>
      </c>
      <c r="J6" s="25">
        <v>8</v>
      </c>
      <c r="K6" s="25">
        <v>9</v>
      </c>
      <c r="L6" s="25">
        <v>10</v>
      </c>
      <c r="M6" s="25">
        <v>11</v>
      </c>
      <c r="N6" s="25">
        <v>12</v>
      </c>
      <c r="O6" s="26" t="s">
        <v>40</v>
      </c>
      <c r="P6" s="27" t="s">
        <v>60</v>
      </c>
      <c r="Q6" s="28" t="s">
        <v>61</v>
      </c>
      <c r="R6" s="190" t="s">
        <v>164</v>
      </c>
    </row>
    <row r="7" spans="1:21" s="1" customFormat="1" ht="12.75">
      <c r="A7" s="32" t="s">
        <v>157</v>
      </c>
      <c r="B7" s="33">
        <f>102+3</f>
        <v>105</v>
      </c>
      <c r="C7" s="33">
        <f>95+3</f>
        <v>98</v>
      </c>
      <c r="D7" s="33">
        <f>96+3</f>
        <v>99</v>
      </c>
      <c r="E7" s="33">
        <f>105+3</f>
        <v>108</v>
      </c>
      <c r="F7" s="33">
        <f>90+3</f>
        <v>93</v>
      </c>
      <c r="G7" s="33">
        <f>83+3</f>
        <v>86</v>
      </c>
      <c r="H7" s="33">
        <f>77</f>
        <v>77</v>
      </c>
      <c r="I7" s="33">
        <v>75</v>
      </c>
      <c r="J7" s="33">
        <v>96</v>
      </c>
      <c r="K7" s="33">
        <f>123-1</f>
        <v>122</v>
      </c>
      <c r="L7" s="33">
        <f>105-1</f>
        <v>104</v>
      </c>
      <c r="M7" s="33">
        <f>110-1</f>
        <v>109</v>
      </c>
      <c r="N7" s="33">
        <f>102-1</f>
        <v>101</v>
      </c>
      <c r="O7" s="34">
        <f>SUM(B7:N7)</f>
        <v>1273</v>
      </c>
      <c r="P7" s="65"/>
      <c r="Q7" s="66">
        <v>0.15</v>
      </c>
      <c r="R7" s="66"/>
      <c r="S7" s="279"/>
      <c r="T7" s="1">
        <f>18/6</f>
        <v>3</v>
      </c>
      <c r="U7" s="279">
        <f>O7-'Combined '!C2</f>
        <v>0</v>
      </c>
    </row>
    <row r="8" spans="1:21" ht="12.75">
      <c r="A8" s="35" t="s">
        <v>158</v>
      </c>
      <c r="B8" s="33">
        <f>102+3</f>
        <v>105</v>
      </c>
      <c r="C8" s="33">
        <f>95+3</f>
        <v>98</v>
      </c>
      <c r="D8" s="33">
        <f>96+3</f>
        <v>99</v>
      </c>
      <c r="E8" s="33">
        <f>105+3</f>
        <v>108</v>
      </c>
      <c r="F8" s="33">
        <f>90+3</f>
        <v>93</v>
      </c>
      <c r="G8" s="33">
        <f>83+3</f>
        <v>86</v>
      </c>
      <c r="H8" s="33">
        <f>77</f>
        <v>77</v>
      </c>
      <c r="I8" s="33">
        <f aca="true" t="shared" si="0" ref="I8:N11">I7+4.167</f>
        <v>79.167</v>
      </c>
      <c r="J8" s="33">
        <f t="shared" si="0"/>
        <v>100.167</v>
      </c>
      <c r="K8" s="33">
        <f t="shared" si="0"/>
        <v>126.167</v>
      </c>
      <c r="L8" s="33">
        <f t="shared" si="0"/>
        <v>108.167</v>
      </c>
      <c r="M8" s="33">
        <f t="shared" si="0"/>
        <v>113.167</v>
      </c>
      <c r="N8" s="33">
        <f t="shared" si="0"/>
        <v>105.167</v>
      </c>
      <c r="O8" s="34">
        <f>SUM(B8:N8)</f>
        <v>1298.002</v>
      </c>
      <c r="P8" s="65"/>
      <c r="Q8" s="66">
        <v>0.15</v>
      </c>
      <c r="R8" s="66"/>
      <c r="S8" s="18">
        <f>O7-607-666</f>
        <v>0</v>
      </c>
      <c r="T8" s="2">
        <v>1</v>
      </c>
      <c r="U8" s="37">
        <f>O8-'Combined '!D2</f>
        <v>0.0019999999999527063</v>
      </c>
    </row>
    <row r="9" spans="1:21" ht="12.75">
      <c r="A9" s="36" t="s">
        <v>159</v>
      </c>
      <c r="B9" s="33">
        <f>102+3</f>
        <v>105</v>
      </c>
      <c r="C9" s="33">
        <f>95+3</f>
        <v>98</v>
      </c>
      <c r="D9" s="33">
        <f>96+3</f>
        <v>99</v>
      </c>
      <c r="E9" s="33">
        <f>105+3</f>
        <v>108</v>
      </c>
      <c r="F9" s="33">
        <f>90+3</f>
        <v>93</v>
      </c>
      <c r="G9" s="33">
        <f>83+3</f>
        <v>86</v>
      </c>
      <c r="H9" s="33">
        <f>77</f>
        <v>77</v>
      </c>
      <c r="I9" s="33">
        <f t="shared" si="0"/>
        <v>83.334</v>
      </c>
      <c r="J9" s="33">
        <f t="shared" si="0"/>
        <v>104.334</v>
      </c>
      <c r="K9" s="33">
        <f t="shared" si="0"/>
        <v>130.334</v>
      </c>
      <c r="L9" s="33">
        <f t="shared" si="0"/>
        <v>112.334</v>
      </c>
      <c r="M9" s="33">
        <f t="shared" si="0"/>
        <v>117.334</v>
      </c>
      <c r="N9" s="33">
        <f t="shared" si="0"/>
        <v>109.334</v>
      </c>
      <c r="O9" s="34">
        <f>SUM(B9:N9)</f>
        <v>1323.0040000000004</v>
      </c>
      <c r="P9" s="65"/>
      <c r="Q9" s="66">
        <v>0.15</v>
      </c>
      <c r="R9" s="66"/>
      <c r="S9" s="18"/>
      <c r="T9" s="37">
        <f>25/6</f>
        <v>4.166666666666667</v>
      </c>
      <c r="U9" s="37">
        <f>O9-'Combined '!E2</f>
        <v>0.00400000000036016</v>
      </c>
    </row>
    <row r="10" spans="1:21" ht="12.75">
      <c r="A10" s="36" t="s">
        <v>160</v>
      </c>
      <c r="B10" s="33">
        <f>102+3</f>
        <v>105</v>
      </c>
      <c r="C10" s="33">
        <f>95+3</f>
        <v>98</v>
      </c>
      <c r="D10" s="33">
        <f>96+3</f>
        <v>99</v>
      </c>
      <c r="E10" s="33">
        <f>105+3</f>
        <v>108</v>
      </c>
      <c r="F10" s="33">
        <f>90+3</f>
        <v>93</v>
      </c>
      <c r="G10" s="33">
        <f>83+3</f>
        <v>86</v>
      </c>
      <c r="H10" s="33">
        <f>77</f>
        <v>77</v>
      </c>
      <c r="I10" s="33">
        <f t="shared" si="0"/>
        <v>87.501</v>
      </c>
      <c r="J10" s="33">
        <f t="shared" si="0"/>
        <v>108.501</v>
      </c>
      <c r="K10" s="33">
        <f t="shared" si="0"/>
        <v>134.501</v>
      </c>
      <c r="L10" s="33">
        <f t="shared" si="0"/>
        <v>116.501</v>
      </c>
      <c r="M10" s="33">
        <f t="shared" si="0"/>
        <v>121.501</v>
      </c>
      <c r="N10" s="33">
        <f t="shared" si="0"/>
        <v>113.501</v>
      </c>
      <c r="O10" s="34">
        <f>SUM(B10:N10)</f>
        <v>1348.0059999999999</v>
      </c>
      <c r="P10" s="65"/>
      <c r="Q10" s="66">
        <v>0.15</v>
      </c>
      <c r="R10" s="66"/>
      <c r="S10" s="18"/>
      <c r="U10" s="37">
        <f>O10-'Combined '!F2</f>
        <v>0.005999999999858119</v>
      </c>
    </row>
    <row r="11" spans="1:21" ht="12.75">
      <c r="A11" s="36" t="s">
        <v>161</v>
      </c>
      <c r="B11" s="33">
        <f>102+3</f>
        <v>105</v>
      </c>
      <c r="C11" s="33">
        <f>95+3</f>
        <v>98</v>
      </c>
      <c r="D11" s="33">
        <f>96+3</f>
        <v>99</v>
      </c>
      <c r="E11" s="33">
        <f>105+3</f>
        <v>108</v>
      </c>
      <c r="F11" s="33">
        <f>90+3</f>
        <v>93</v>
      </c>
      <c r="G11" s="33">
        <f>83+3</f>
        <v>86</v>
      </c>
      <c r="H11" s="33">
        <f>77</f>
        <v>77</v>
      </c>
      <c r="I11" s="33">
        <f t="shared" si="0"/>
        <v>91.668</v>
      </c>
      <c r="J11" s="33">
        <f t="shared" si="0"/>
        <v>112.668</v>
      </c>
      <c r="K11" s="33">
        <f t="shared" si="0"/>
        <v>138.668</v>
      </c>
      <c r="L11" s="33">
        <f t="shared" si="0"/>
        <v>120.668</v>
      </c>
      <c r="M11" s="33">
        <f t="shared" si="0"/>
        <v>125.668</v>
      </c>
      <c r="N11" s="33">
        <f t="shared" si="0"/>
        <v>117.668</v>
      </c>
      <c r="O11" s="34">
        <f>SUM(B11:N11)</f>
        <v>1373.0080000000003</v>
      </c>
      <c r="P11" s="65"/>
      <c r="Q11" s="66">
        <v>0.15</v>
      </c>
      <c r="R11" s="66"/>
      <c r="S11" s="18"/>
      <c r="U11" s="37">
        <f>O11-'Combined '!G2</f>
        <v>0.008000000000265572</v>
      </c>
    </row>
    <row r="12" spans="1:15" ht="12.75">
      <c r="A12" s="37"/>
      <c r="B12" s="37"/>
      <c r="C12" s="37"/>
      <c r="D12" s="37"/>
      <c r="E12" s="37"/>
      <c r="F12" s="37"/>
      <c r="G12" s="37"/>
      <c r="H12" s="37"/>
      <c r="I12" s="37"/>
      <c r="J12" s="37"/>
      <c r="K12" s="37"/>
      <c r="L12" s="37"/>
      <c r="M12" s="37"/>
      <c r="N12" s="37"/>
      <c r="O12" s="37"/>
    </row>
    <row r="13" spans="1:19" ht="20.25" customHeight="1">
      <c r="A13" s="295" t="s">
        <v>63</v>
      </c>
      <c r="B13" s="296"/>
      <c r="C13" s="296"/>
      <c r="D13" s="296"/>
      <c r="E13" s="296"/>
      <c r="F13" s="296"/>
      <c r="G13" s="296"/>
      <c r="H13" s="296"/>
      <c r="I13" s="296"/>
      <c r="J13" s="296"/>
      <c r="K13" s="296"/>
      <c r="L13" s="296"/>
      <c r="M13" s="296"/>
      <c r="N13" s="296"/>
      <c r="O13" s="297"/>
      <c r="P13" s="29"/>
      <c r="Q13" s="29"/>
      <c r="R13" s="29"/>
      <c r="S13" s="1"/>
    </row>
    <row r="14" spans="1:15" ht="12.75">
      <c r="A14" s="38" t="s">
        <v>59</v>
      </c>
      <c r="B14" s="38" t="s">
        <v>58</v>
      </c>
      <c r="C14" s="38">
        <v>1</v>
      </c>
      <c r="D14" s="38">
        <v>2</v>
      </c>
      <c r="E14" s="38">
        <v>3</v>
      </c>
      <c r="F14" s="38">
        <v>4</v>
      </c>
      <c r="G14" s="38">
        <v>5</v>
      </c>
      <c r="H14" s="38">
        <v>6</v>
      </c>
      <c r="I14" s="38">
        <v>7</v>
      </c>
      <c r="J14" s="38">
        <v>8</v>
      </c>
      <c r="K14" s="38">
        <v>9</v>
      </c>
      <c r="L14" s="38">
        <v>10</v>
      </c>
      <c r="M14" s="38">
        <v>11</v>
      </c>
      <c r="N14" s="38">
        <v>12</v>
      </c>
      <c r="O14" s="38" t="s">
        <v>40</v>
      </c>
    </row>
    <row r="15" spans="1:17" ht="12.75">
      <c r="A15" s="32" t="s">
        <v>157</v>
      </c>
      <c r="B15" s="33">
        <f aca="true" t="shared" si="1" ref="B15:G15">B7/24</f>
        <v>4.375</v>
      </c>
      <c r="C15" s="33">
        <f t="shared" si="1"/>
        <v>4.083333333333333</v>
      </c>
      <c r="D15" s="33">
        <f t="shared" si="1"/>
        <v>4.125</v>
      </c>
      <c r="E15" s="33">
        <f t="shared" si="1"/>
        <v>4.5</v>
      </c>
      <c r="F15" s="33">
        <f t="shared" si="1"/>
        <v>3.875</v>
      </c>
      <c r="G15" s="33">
        <f t="shared" si="1"/>
        <v>3.5833333333333335</v>
      </c>
      <c r="H15" s="33">
        <f>H7/25</f>
        <v>3.08</v>
      </c>
      <c r="I15" s="33">
        <f aca="true" t="shared" si="2" ref="I15:N15">I7/30</f>
        <v>2.5</v>
      </c>
      <c r="J15" s="33">
        <f t="shared" si="2"/>
        <v>3.2</v>
      </c>
      <c r="K15" s="33">
        <f t="shared" si="2"/>
        <v>4.066666666666666</v>
      </c>
      <c r="L15" s="33">
        <f t="shared" si="2"/>
        <v>3.466666666666667</v>
      </c>
      <c r="M15" s="33">
        <f t="shared" si="2"/>
        <v>3.6333333333333333</v>
      </c>
      <c r="N15" s="33">
        <f t="shared" si="2"/>
        <v>3.3666666666666667</v>
      </c>
      <c r="O15" s="280">
        <f>SUM(B15:N15)</f>
        <v>47.855000000000004</v>
      </c>
      <c r="P15" s="281">
        <f>'TBLA Expense'!C9-(B15+C15+D15+E15+F15+G15+H15)</f>
        <v>0.001726116410900147</v>
      </c>
      <c r="Q15" s="281">
        <f>'TBLA Expense'!J9-(I15+J15+K15+L15+M15+N15)</f>
        <v>4.766666666666666</v>
      </c>
    </row>
    <row r="16" spans="1:17" ht="12.75">
      <c r="A16" s="35" t="s">
        <v>158</v>
      </c>
      <c r="B16" s="33">
        <f aca="true" t="shared" si="3" ref="B16:G16">B8/24</f>
        <v>4.375</v>
      </c>
      <c r="C16" s="33">
        <f t="shared" si="3"/>
        <v>4.083333333333333</v>
      </c>
      <c r="D16" s="33">
        <f t="shared" si="3"/>
        <v>4.125</v>
      </c>
      <c r="E16" s="33">
        <f t="shared" si="3"/>
        <v>4.5</v>
      </c>
      <c r="F16" s="33">
        <f t="shared" si="3"/>
        <v>3.875</v>
      </c>
      <c r="G16" s="33">
        <f t="shared" si="3"/>
        <v>3.5833333333333335</v>
      </c>
      <c r="H16" s="33">
        <f>H8/25</f>
        <v>3.08</v>
      </c>
      <c r="I16" s="33">
        <f aca="true" t="shared" si="4" ref="I16:N16">I8/30</f>
        <v>2.6389</v>
      </c>
      <c r="J16" s="33">
        <f t="shared" si="4"/>
        <v>3.3389</v>
      </c>
      <c r="K16" s="33">
        <f t="shared" si="4"/>
        <v>4.205566666666667</v>
      </c>
      <c r="L16" s="33">
        <f t="shared" si="4"/>
        <v>3.605566666666667</v>
      </c>
      <c r="M16" s="33">
        <f t="shared" si="4"/>
        <v>3.7722333333333333</v>
      </c>
      <c r="N16" s="33">
        <f t="shared" si="4"/>
        <v>3.5055666666666667</v>
      </c>
      <c r="O16" s="33">
        <f>SUM(B16:N16)</f>
        <v>48.6884</v>
      </c>
      <c r="P16" s="281">
        <f>'TBLA Expense'!D9-(B16+C16+D16+E16+F16+G16+H16)</f>
        <v>0.001726116410900147</v>
      </c>
      <c r="Q16" s="281">
        <f>'TBLA Expense'!K9-(I16+J16+K16+L16+M16+N16)</f>
        <v>4.962920702910484</v>
      </c>
    </row>
    <row r="17" spans="1:17" ht="12.75">
      <c r="A17" s="36" t="s">
        <v>159</v>
      </c>
      <c r="B17" s="33">
        <f aca="true" t="shared" si="5" ref="B17:G17">B9/24</f>
        <v>4.375</v>
      </c>
      <c r="C17" s="33">
        <f t="shared" si="5"/>
        <v>4.083333333333333</v>
      </c>
      <c r="D17" s="33">
        <f t="shared" si="5"/>
        <v>4.125</v>
      </c>
      <c r="E17" s="33">
        <f t="shared" si="5"/>
        <v>4.5</v>
      </c>
      <c r="F17" s="33">
        <f t="shared" si="5"/>
        <v>3.875</v>
      </c>
      <c r="G17" s="33">
        <f t="shared" si="5"/>
        <v>3.5833333333333335</v>
      </c>
      <c r="H17" s="33">
        <f>H9/25</f>
        <v>3.08</v>
      </c>
      <c r="I17" s="33">
        <f aca="true" t="shared" si="6" ref="I17:N17">I9/30</f>
        <v>2.7778</v>
      </c>
      <c r="J17" s="33">
        <f t="shared" si="6"/>
        <v>3.4778000000000002</v>
      </c>
      <c r="K17" s="33">
        <f t="shared" si="6"/>
        <v>4.3444666666666665</v>
      </c>
      <c r="L17" s="33">
        <f t="shared" si="6"/>
        <v>3.744466666666667</v>
      </c>
      <c r="M17" s="33">
        <f t="shared" si="6"/>
        <v>3.9111333333333334</v>
      </c>
      <c r="N17" s="33">
        <f t="shared" si="6"/>
        <v>3.6444666666666667</v>
      </c>
      <c r="O17" s="33">
        <f>SUM(B17:N17)</f>
        <v>49.5218</v>
      </c>
      <c r="P17" s="281">
        <f>'TBLA Expense'!E9-(B17+C17+D17+E17+F17+G17+H17)</f>
        <v>0.001726116410900147</v>
      </c>
      <c r="Q17" s="281">
        <f>'TBLA Expense'!L9-(I17+J17+K17+L17+M17+N17)</f>
        <v>5.1591747391543095</v>
      </c>
    </row>
    <row r="18" spans="1:17" ht="12.75">
      <c r="A18" s="36" t="s">
        <v>160</v>
      </c>
      <c r="B18" s="33">
        <f aca="true" t="shared" si="7" ref="B18:G18">B10/24</f>
        <v>4.375</v>
      </c>
      <c r="C18" s="33">
        <f t="shared" si="7"/>
        <v>4.083333333333333</v>
      </c>
      <c r="D18" s="33">
        <f t="shared" si="7"/>
        <v>4.125</v>
      </c>
      <c r="E18" s="33">
        <f t="shared" si="7"/>
        <v>4.5</v>
      </c>
      <c r="F18" s="33">
        <f t="shared" si="7"/>
        <v>3.875</v>
      </c>
      <c r="G18" s="33">
        <f t="shared" si="7"/>
        <v>3.5833333333333335</v>
      </c>
      <c r="H18" s="33">
        <f>H10/25</f>
        <v>3.08</v>
      </c>
      <c r="I18" s="33">
        <f aca="true" t="shared" si="8" ref="I18:N18">I10/30</f>
        <v>2.9167</v>
      </c>
      <c r="J18" s="33">
        <f t="shared" si="8"/>
        <v>3.6167000000000002</v>
      </c>
      <c r="K18" s="33">
        <f t="shared" si="8"/>
        <v>4.483366666666667</v>
      </c>
      <c r="L18" s="33">
        <f t="shared" si="8"/>
        <v>3.883366666666667</v>
      </c>
      <c r="M18" s="33">
        <f t="shared" si="8"/>
        <v>4.050033333333333</v>
      </c>
      <c r="N18" s="33">
        <f t="shared" si="8"/>
        <v>3.7833666666666668</v>
      </c>
      <c r="O18" s="33">
        <f>SUM(B18:N18)</f>
        <v>50.355199999999996</v>
      </c>
      <c r="P18" s="281">
        <f>'TBLA Expense'!F9-(B18+C18+D18+E18+F18+G18+H18)</f>
        <v>0.001726116410900147</v>
      </c>
      <c r="Q18" s="281">
        <f>'TBLA Expense'!M9-(I18+J18+K18+L18+M18+N18)</f>
        <v>5.355428775398131</v>
      </c>
    </row>
    <row r="19" spans="1:17" ht="12.75">
      <c r="A19" s="36" t="s">
        <v>161</v>
      </c>
      <c r="B19" s="33">
        <f aca="true" t="shared" si="9" ref="B19:G19">B11/24</f>
        <v>4.375</v>
      </c>
      <c r="C19" s="33">
        <f t="shared" si="9"/>
        <v>4.083333333333333</v>
      </c>
      <c r="D19" s="33">
        <f t="shared" si="9"/>
        <v>4.125</v>
      </c>
      <c r="E19" s="33">
        <f t="shared" si="9"/>
        <v>4.5</v>
      </c>
      <c r="F19" s="33">
        <f t="shared" si="9"/>
        <v>3.875</v>
      </c>
      <c r="G19" s="33">
        <f t="shared" si="9"/>
        <v>3.5833333333333335</v>
      </c>
      <c r="H19" s="33">
        <f>H11/25</f>
        <v>3.08</v>
      </c>
      <c r="I19" s="33">
        <f aca="true" t="shared" si="10" ref="I19:N19">I11/30</f>
        <v>3.0556</v>
      </c>
      <c r="J19" s="33">
        <f t="shared" si="10"/>
        <v>3.7556000000000003</v>
      </c>
      <c r="K19" s="33">
        <f t="shared" si="10"/>
        <v>4.6222666666666665</v>
      </c>
      <c r="L19" s="33">
        <f t="shared" si="10"/>
        <v>4.022266666666667</v>
      </c>
      <c r="M19" s="33">
        <f t="shared" si="10"/>
        <v>4.188933333333334</v>
      </c>
      <c r="N19" s="33">
        <f t="shared" si="10"/>
        <v>3.922266666666667</v>
      </c>
      <c r="O19" s="33">
        <f>SUM(B19:N19)</f>
        <v>51.188599999999994</v>
      </c>
      <c r="P19" s="281">
        <f>'TBLA Expense'!G9-(B19+C19+D19+E19+F19+G19+H19)</f>
        <v>0.001726116410900147</v>
      </c>
      <c r="Q19" s="281">
        <f>'TBLA Expense'!N9-(I19+J19+K19+L19+M19+N19)</f>
        <v>5.551682811641953</v>
      </c>
    </row>
    <row r="20" spans="1:3" ht="12.75">
      <c r="A20" s="139"/>
      <c r="B20" s="139"/>
      <c r="C20" s="139"/>
    </row>
    <row r="21" spans="1:15" ht="15.75" customHeight="1">
      <c r="A21" s="142"/>
      <c r="B21" s="29"/>
      <c r="C21" s="29"/>
      <c r="D21" s="29"/>
      <c r="E21" s="29"/>
      <c r="F21" s="29"/>
      <c r="G21" s="29"/>
      <c r="H21" s="29"/>
      <c r="I21" s="29"/>
      <c r="J21" s="29"/>
      <c r="K21" s="29"/>
      <c r="L21" s="29"/>
      <c r="M21" s="29"/>
      <c r="N21" s="29"/>
      <c r="O21" s="29"/>
    </row>
    <row r="22" spans="1:15" ht="15.75" customHeight="1">
      <c r="A22" s="142"/>
      <c r="B22" s="29"/>
      <c r="C22" s="29"/>
      <c r="D22" s="29"/>
      <c r="E22" s="29"/>
      <c r="F22" s="29"/>
      <c r="G22" s="29"/>
      <c r="H22" s="29"/>
      <c r="I22" s="29"/>
      <c r="J22" s="29"/>
      <c r="K22" s="29"/>
      <c r="L22" s="29"/>
      <c r="M22" s="29"/>
      <c r="N22" s="29"/>
      <c r="O22" s="29"/>
    </row>
    <row r="23" spans="2:15" ht="12.75">
      <c r="B23" s="140"/>
      <c r="C23" s="140"/>
      <c r="D23" s="1"/>
      <c r="E23" s="1"/>
      <c r="F23" s="1"/>
      <c r="G23" s="1"/>
      <c r="H23" s="1"/>
      <c r="I23" s="1"/>
      <c r="J23" s="1"/>
      <c r="K23" s="1"/>
      <c r="L23" s="1"/>
      <c r="M23" s="1"/>
      <c r="N23" s="1"/>
      <c r="O23" s="1"/>
    </row>
    <row r="24" spans="1:15" ht="12.75">
      <c r="A24" s="22"/>
      <c r="B24" s="191"/>
      <c r="C24" s="191"/>
      <c r="D24" s="1"/>
      <c r="E24" s="1"/>
      <c r="F24" s="1"/>
      <c r="G24" s="1"/>
      <c r="H24" s="1"/>
      <c r="I24" s="1"/>
      <c r="J24" s="1"/>
      <c r="K24" s="1"/>
      <c r="L24" s="1"/>
      <c r="M24" s="1"/>
      <c r="N24" s="1"/>
      <c r="O24" s="1"/>
    </row>
    <row r="25" spans="1:3" ht="12.75">
      <c r="A25" s="192"/>
      <c r="B25" s="191"/>
      <c r="C25" s="191"/>
    </row>
    <row r="26" spans="1:3" ht="12.75">
      <c r="A26" s="138"/>
      <c r="B26" s="141"/>
      <c r="C26" s="141"/>
    </row>
    <row r="27" spans="1:3" ht="12.75">
      <c r="A27" s="138"/>
      <c r="B27" s="141"/>
      <c r="C27" s="141"/>
    </row>
    <row r="28" spans="1:3" ht="12.75">
      <c r="A28" s="138"/>
      <c r="B28" s="141"/>
      <c r="C28" s="141"/>
    </row>
    <row r="29" spans="1:3" ht="12.75">
      <c r="A29" s="139"/>
      <c r="B29" s="139"/>
      <c r="C29" s="139"/>
    </row>
    <row r="30" ht="12.75">
      <c r="A30" s="31"/>
    </row>
  </sheetData>
  <sheetProtection/>
  <mergeCells count="2">
    <mergeCell ref="A5:R5"/>
    <mergeCell ref="A13:O13"/>
  </mergeCell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G144"/>
  <sheetViews>
    <sheetView tabSelected="1" workbookViewId="0" topLeftCell="A1">
      <selection activeCell="A1" sqref="A1"/>
    </sheetView>
  </sheetViews>
  <sheetFormatPr defaultColWidth="11.57421875" defaultRowHeight="15"/>
  <cols>
    <col min="1" max="1" width="44.7109375" style="48" customWidth="1"/>
    <col min="2" max="7" width="16.140625" style="48" customWidth="1"/>
    <col min="8" max="16384" width="11.421875" style="48" customWidth="1"/>
  </cols>
  <sheetData>
    <row r="1" spans="1:7" ht="12">
      <c r="A1" s="64" t="str">
        <f>'School Enrollment Projection'!B1</f>
        <v>Thea Bowman Leadership Academy</v>
      </c>
      <c r="B1" s="137"/>
      <c r="C1" s="137"/>
      <c r="D1" s="137"/>
      <c r="E1" s="137"/>
      <c r="F1" s="137"/>
      <c r="G1" s="137"/>
    </row>
    <row r="2" spans="1:7" ht="12">
      <c r="A2" s="62"/>
      <c r="B2" s="121" t="s">
        <v>288</v>
      </c>
      <c r="C2" s="121" t="s">
        <v>291</v>
      </c>
      <c r="D2" s="121" t="s">
        <v>292</v>
      </c>
      <c r="E2" s="121" t="s">
        <v>293</v>
      </c>
      <c r="F2" s="121" t="s">
        <v>294</v>
      </c>
      <c r="G2" s="121" t="s">
        <v>295</v>
      </c>
    </row>
    <row r="3" spans="1:7" ht="12">
      <c r="A3" s="128"/>
      <c r="B3" s="121" t="s">
        <v>65</v>
      </c>
      <c r="C3" s="121" t="s">
        <v>49</v>
      </c>
      <c r="D3" s="121" t="s">
        <v>50</v>
      </c>
      <c r="E3" s="121" t="s">
        <v>51</v>
      </c>
      <c r="F3" s="121" t="s">
        <v>52</v>
      </c>
      <c r="G3" s="121" t="s">
        <v>53</v>
      </c>
    </row>
    <row r="4" spans="1:7" s="11" customFormat="1" ht="12">
      <c r="A4" s="121" t="s">
        <v>0</v>
      </c>
      <c r="B4" s="122"/>
      <c r="C4" s="122"/>
      <c r="D4" s="122"/>
      <c r="E4" s="122"/>
      <c r="F4" s="122"/>
      <c r="G4" s="122"/>
    </row>
    <row r="5" spans="1:7" s="11" customFormat="1" ht="12">
      <c r="A5" s="122" t="s">
        <v>90</v>
      </c>
      <c r="B5" s="122"/>
      <c r="C5" s="122"/>
      <c r="D5" s="122"/>
      <c r="E5" s="122"/>
      <c r="F5" s="122"/>
      <c r="G5" s="122"/>
    </row>
    <row r="6" spans="1:7" s="45" customFormat="1" ht="12">
      <c r="A6" s="60" t="s">
        <v>93</v>
      </c>
      <c r="B6" s="132">
        <f>'Combined '!B6</f>
        <v>8618880</v>
      </c>
      <c r="C6" s="132">
        <f>'YEAR 1'!B6</f>
        <v>8618880</v>
      </c>
      <c r="D6" s="132">
        <f>'YEAR 2'!B6</f>
        <v>8796369.291598022</v>
      </c>
      <c r="E6" s="132">
        <f>'YEAR 3'!B6</f>
        <v>8973858.583196046</v>
      </c>
      <c r="F6" s="132">
        <f>'YEAR 4'!B6</f>
        <v>9151347.87479407</v>
      </c>
      <c r="G6" s="132">
        <f>'YEAR 5'!B6</f>
        <v>9328837.166392092</v>
      </c>
    </row>
    <row r="7" spans="1:7" ht="12">
      <c r="A7" s="61" t="s">
        <v>94</v>
      </c>
      <c r="B7" s="132"/>
      <c r="C7" s="132">
        <f>'YEAR 1'!B7</f>
        <v>0</v>
      </c>
      <c r="D7" s="132">
        <f>'YEAR 2'!B7</f>
        <v>0</v>
      </c>
      <c r="E7" s="132">
        <f>'YEAR 3'!B7</f>
        <v>0</v>
      </c>
      <c r="F7" s="132">
        <f>'YEAR 4'!B7</f>
        <v>0</v>
      </c>
      <c r="G7" s="132">
        <f>'YEAR 5'!B7</f>
        <v>0</v>
      </c>
    </row>
    <row r="8" spans="1:7" ht="12">
      <c r="A8" s="61" t="s">
        <v>74</v>
      </c>
      <c r="B8" s="132"/>
      <c r="C8" s="132">
        <f>'YEAR 1'!B8</f>
        <v>0</v>
      </c>
      <c r="D8" s="132">
        <f>'YEAR 2'!B8</f>
        <v>0</v>
      </c>
      <c r="E8" s="132">
        <f>'YEAR 3'!B8</f>
        <v>0</v>
      </c>
      <c r="F8" s="132">
        <f>'YEAR 4'!B8</f>
        <v>0</v>
      </c>
      <c r="G8" s="132">
        <f>'YEAR 5'!B8</f>
        <v>0</v>
      </c>
    </row>
    <row r="9" spans="1:7" ht="12">
      <c r="A9" s="61" t="s">
        <v>149</v>
      </c>
      <c r="B9" s="132"/>
      <c r="C9" s="132">
        <f>'YEAR 1'!B9</f>
        <v>0</v>
      </c>
      <c r="D9" s="132">
        <f>'YEAR 2'!B9</f>
        <v>0</v>
      </c>
      <c r="E9" s="132">
        <f>'YEAR 3'!B9</f>
        <v>0</v>
      </c>
      <c r="F9" s="132">
        <f>'YEAR 4'!B9</f>
        <v>0</v>
      </c>
      <c r="G9" s="132">
        <f>'YEAR 5'!B9</f>
        <v>0</v>
      </c>
    </row>
    <row r="10" spans="1:7" ht="12">
      <c r="A10" s="61" t="s">
        <v>95</v>
      </c>
      <c r="B10" s="132"/>
      <c r="C10" s="132">
        <f>'YEAR 1'!B10</f>
        <v>0</v>
      </c>
      <c r="D10" s="132">
        <f>'YEAR 2'!B10</f>
        <v>0</v>
      </c>
      <c r="E10" s="132">
        <f>'YEAR 3'!B10</f>
        <v>0</v>
      </c>
      <c r="F10" s="132">
        <f>'YEAR 4'!B10</f>
        <v>0</v>
      </c>
      <c r="G10" s="132">
        <f>'YEAR 5'!B10</f>
        <v>0</v>
      </c>
    </row>
    <row r="11" spans="1:7" ht="12">
      <c r="A11" s="61" t="s">
        <v>96</v>
      </c>
      <c r="B11" s="132"/>
      <c r="C11" s="132">
        <f>'YEAR 1'!B11</f>
        <v>0</v>
      </c>
      <c r="D11" s="132">
        <f>'YEAR 2'!B11</f>
        <v>0</v>
      </c>
      <c r="E11" s="132">
        <f>'YEAR 3'!B11</f>
        <v>0</v>
      </c>
      <c r="F11" s="132">
        <f>'YEAR 4'!B11</f>
        <v>0</v>
      </c>
      <c r="G11" s="132">
        <f>'YEAR 5'!B11</f>
        <v>0</v>
      </c>
    </row>
    <row r="12" spans="1:7" ht="12">
      <c r="A12" s="61" t="s">
        <v>97</v>
      </c>
      <c r="B12" s="132">
        <f>'Combined '!B12</f>
        <v>64966</v>
      </c>
      <c r="C12" s="132">
        <f>'YEAR 1'!B12</f>
        <v>64966</v>
      </c>
      <c r="D12" s="132">
        <f>'YEAR 2'!B12</f>
        <v>64966</v>
      </c>
      <c r="E12" s="132">
        <f>'YEAR 3'!B12</f>
        <v>64966</v>
      </c>
      <c r="F12" s="132">
        <f>'YEAR 4'!B12</f>
        <v>64966</v>
      </c>
      <c r="G12" s="132">
        <f>'YEAR 5'!B12</f>
        <v>64966</v>
      </c>
    </row>
    <row r="13" spans="1:7" ht="12">
      <c r="A13" s="61" t="s">
        <v>98</v>
      </c>
      <c r="B13" s="132"/>
      <c r="C13" s="132">
        <f>'YEAR 1'!B13</f>
        <v>0</v>
      </c>
      <c r="D13" s="132">
        <f>'YEAR 2'!B13</f>
        <v>0</v>
      </c>
      <c r="E13" s="132">
        <f>'YEAR 3'!B13</f>
        <v>0</v>
      </c>
      <c r="F13" s="132">
        <f>'YEAR 4'!B13</f>
        <v>0</v>
      </c>
      <c r="G13" s="132">
        <f>'YEAR 5'!B13</f>
        <v>0</v>
      </c>
    </row>
    <row r="14" spans="1:7" ht="12">
      <c r="A14" s="61" t="s">
        <v>165</v>
      </c>
      <c r="B14" s="132">
        <f>'Combined '!B13</f>
        <v>633000</v>
      </c>
      <c r="C14" s="132">
        <f>'YEAR 1'!B14</f>
        <v>633000</v>
      </c>
      <c r="D14" s="132">
        <f>'YEAR 2'!B14</f>
        <v>646035.4200988468</v>
      </c>
      <c r="E14" s="132">
        <f>'YEAR 3'!B14</f>
        <v>659070.8401976936</v>
      </c>
      <c r="F14" s="132">
        <f>'YEAR 4'!B14</f>
        <v>672106.2602965403</v>
      </c>
      <c r="G14" s="132">
        <f>'YEAR 5'!B14</f>
        <v>685141.6803953871</v>
      </c>
    </row>
    <row r="15" spans="1:7" ht="12">
      <c r="A15" s="61" t="s">
        <v>166</v>
      </c>
      <c r="B15" s="132"/>
      <c r="C15" s="132">
        <f>'YEAR 1'!B15</f>
        <v>0</v>
      </c>
      <c r="D15" s="132">
        <f>'YEAR 2'!B15</f>
        <v>0</v>
      </c>
      <c r="E15" s="132">
        <f>'YEAR 3'!B15</f>
        <v>0</v>
      </c>
      <c r="F15" s="132">
        <f>'YEAR 4'!B15</f>
        <v>0</v>
      </c>
      <c r="G15" s="132">
        <f>'YEAR 5'!B15</f>
        <v>0</v>
      </c>
    </row>
    <row r="16" spans="1:7" ht="12">
      <c r="A16" s="61" t="s">
        <v>104</v>
      </c>
      <c r="B16" s="132"/>
      <c r="C16" s="132">
        <f>'YEAR 1'!B16</f>
        <v>0</v>
      </c>
      <c r="D16" s="132">
        <f>'YEAR 2'!B16</f>
        <v>0</v>
      </c>
      <c r="E16" s="132">
        <f>'YEAR 3'!B16</f>
        <v>0</v>
      </c>
      <c r="F16" s="132">
        <f>'YEAR 4'!B16</f>
        <v>0</v>
      </c>
      <c r="G16" s="132">
        <f>'YEAR 5'!B16</f>
        <v>0</v>
      </c>
    </row>
    <row r="17" spans="1:7" ht="12">
      <c r="A17" s="61" t="s">
        <v>104</v>
      </c>
      <c r="B17" s="132"/>
      <c r="C17" s="132">
        <f>'YEAR 1'!B17</f>
        <v>0</v>
      </c>
      <c r="D17" s="132">
        <f>'YEAR 2'!B17</f>
        <v>0</v>
      </c>
      <c r="E17" s="132">
        <f>'YEAR 3'!B17</f>
        <v>0</v>
      </c>
      <c r="F17" s="132">
        <f>'YEAR 4'!B17</f>
        <v>0</v>
      </c>
      <c r="G17" s="132">
        <f>'YEAR 5'!B17</f>
        <v>0</v>
      </c>
    </row>
    <row r="18" spans="1:7" ht="12">
      <c r="A18" s="123" t="s">
        <v>42</v>
      </c>
      <c r="B18" s="132"/>
      <c r="C18" s="132"/>
      <c r="D18" s="132"/>
      <c r="E18" s="132"/>
      <c r="F18" s="132"/>
      <c r="G18" s="132"/>
    </row>
    <row r="19" spans="1:7" ht="12">
      <c r="A19" s="61" t="s">
        <v>112</v>
      </c>
      <c r="B19" s="132">
        <f>'YEAR 0 - Budget and Cash Flow'!J7+'YEAR 0 - Budget and Cash Flow'!R7</f>
        <v>0</v>
      </c>
      <c r="C19" s="132">
        <f>'YEAR 1'!B19</f>
        <v>0</v>
      </c>
      <c r="D19" s="132">
        <f>'YEAR 2'!B19</f>
        <v>0</v>
      </c>
      <c r="E19" s="132"/>
      <c r="F19" s="132"/>
      <c r="G19" s="132"/>
    </row>
    <row r="20" spans="1:7" ht="12">
      <c r="A20" s="61" t="s">
        <v>150</v>
      </c>
      <c r="B20" s="132">
        <f>'Combined '!B8</f>
        <v>307863</v>
      </c>
      <c r="C20" s="132">
        <f>'YEAR 1'!B20</f>
        <v>307863</v>
      </c>
      <c r="D20" s="132">
        <f>'YEAR 2'!B20</f>
        <v>312652.53871499177</v>
      </c>
      <c r="E20" s="132">
        <f>'YEAR 3'!B19</f>
        <v>317442.07742998353</v>
      </c>
      <c r="F20" s="132">
        <f>'YEAR 4'!B19</f>
        <v>322231.6161449753</v>
      </c>
      <c r="G20" s="132">
        <f>'YEAR 5'!B19</f>
        <v>327021.15485996706</v>
      </c>
    </row>
    <row r="21" spans="1:7" ht="12">
      <c r="A21" s="60" t="s">
        <v>2</v>
      </c>
      <c r="B21" s="132">
        <f>'Combined '!B9</f>
        <v>1614321</v>
      </c>
      <c r="C21" s="132">
        <f>'YEAR 1'!B21</f>
        <v>1614321</v>
      </c>
      <c r="D21" s="132">
        <f>'YEAR 2'!B21</f>
        <v>1648164.410214168</v>
      </c>
      <c r="E21" s="132">
        <f>'YEAR 3'!B20</f>
        <v>1682007.820428336</v>
      </c>
      <c r="F21" s="132">
        <f>'YEAR 4'!B20</f>
        <v>1715851.230642504</v>
      </c>
      <c r="G21" s="132">
        <f>'YEAR 5'!B20</f>
        <v>1749694.640856672</v>
      </c>
    </row>
    <row r="22" spans="1:7" ht="12">
      <c r="A22" s="60" t="s">
        <v>3</v>
      </c>
      <c r="B22" s="132">
        <f>'Combined '!B10</f>
        <v>388672</v>
      </c>
      <c r="C22" s="132">
        <f>'YEAR 1'!B22</f>
        <v>388672</v>
      </c>
      <c r="D22" s="132">
        <f>'YEAR 2'!B22</f>
        <v>397570.1466227347</v>
      </c>
      <c r="E22" s="132">
        <f>'YEAR 3'!B21</f>
        <v>406468.2932454695</v>
      </c>
      <c r="F22" s="132">
        <f>'YEAR 4'!B21</f>
        <v>415366.4398682043</v>
      </c>
      <c r="G22" s="132">
        <f>'YEAR 5'!B21</f>
        <v>424264.586490939</v>
      </c>
    </row>
    <row r="23" spans="1:7" ht="12">
      <c r="A23" s="61" t="s">
        <v>91</v>
      </c>
      <c r="B23" s="132">
        <f>'Combined '!B7*0.65</f>
        <v>447200</v>
      </c>
      <c r="C23" s="132">
        <f>'YEAR 1'!B23</f>
        <v>447200</v>
      </c>
      <c r="D23" s="132">
        <f>'YEAR 2'!B23</f>
        <v>454642.33937397035</v>
      </c>
      <c r="E23" s="132">
        <f>'YEAR 3'!B22</f>
        <v>462084.67874794063</v>
      </c>
      <c r="F23" s="132">
        <f>'YEAR 4'!B22</f>
        <v>469527.01812191104</v>
      </c>
      <c r="G23" s="132">
        <f>'YEAR 5'!B22</f>
        <v>476969.3574958814</v>
      </c>
    </row>
    <row r="24" spans="1:7" ht="12">
      <c r="A24" s="61" t="s">
        <v>92</v>
      </c>
      <c r="B24" s="132">
        <f>'Combined '!B7*0.35</f>
        <v>240799.99999999997</v>
      </c>
      <c r="C24" s="132">
        <f>'YEAR 1'!B24</f>
        <v>240799.99999999997</v>
      </c>
      <c r="D24" s="132">
        <f>'YEAR 2'!B24</f>
        <v>244807.41350906092</v>
      </c>
      <c r="E24" s="132">
        <f>'YEAR 3'!B23</f>
        <v>248814.82701812187</v>
      </c>
      <c r="F24" s="132">
        <f>'YEAR 4'!B23</f>
        <v>252822.24052718285</v>
      </c>
      <c r="G24" s="132">
        <f>'YEAR 5'!B23</f>
        <v>256829.6540362438</v>
      </c>
    </row>
    <row r="25" spans="1:7" ht="12">
      <c r="A25" s="61" t="s">
        <v>41</v>
      </c>
      <c r="B25" s="132">
        <f>'YEAR 0 - Budget and Cash Flow'!J8+'YEAR 0 - Budget and Cash Flow'!R8</f>
        <v>0</v>
      </c>
      <c r="C25" s="132">
        <f>'YEAR 1'!B25</f>
        <v>0</v>
      </c>
      <c r="D25" s="132">
        <f>'YEAR 2'!B25</f>
        <v>0</v>
      </c>
      <c r="E25" s="132">
        <f>'YEAR 3'!B24</f>
        <v>0</v>
      </c>
      <c r="F25" s="132">
        <f>'YEAR 4'!B24</f>
        <v>0</v>
      </c>
      <c r="G25" s="132">
        <f>'YEAR 5'!B24</f>
        <v>0</v>
      </c>
    </row>
    <row r="26" spans="1:7" ht="12">
      <c r="A26" s="61" t="s">
        <v>41</v>
      </c>
      <c r="B26" s="132">
        <f>'YEAR 0 - Budget and Cash Flow'!J9+'YEAR 0 - Budget and Cash Flow'!R9</f>
        <v>0</v>
      </c>
      <c r="C26" s="132">
        <f>'YEAR 1'!B26</f>
        <v>0</v>
      </c>
      <c r="D26" s="132">
        <f>'YEAR 2'!B26</f>
        <v>0</v>
      </c>
      <c r="E26" s="132">
        <f>'YEAR 3'!B25</f>
        <v>0</v>
      </c>
      <c r="F26" s="132">
        <f>'YEAR 4'!B25</f>
        <v>0</v>
      </c>
      <c r="G26" s="132">
        <f>'YEAR 5'!B25</f>
        <v>0</v>
      </c>
    </row>
    <row r="27" spans="1:7" ht="12">
      <c r="A27" s="123" t="s">
        <v>43</v>
      </c>
      <c r="B27" s="132"/>
      <c r="C27" s="132"/>
      <c r="D27" s="132"/>
      <c r="E27" s="132"/>
      <c r="F27" s="132"/>
      <c r="G27" s="132"/>
    </row>
    <row r="28" spans="1:7" ht="12">
      <c r="A28" s="60" t="s">
        <v>99</v>
      </c>
      <c r="B28" s="132">
        <f>'YEAR 0 - Budget and Cash Flow'!J11+'YEAR 0 - Budget and Cash Flow'!R11</f>
        <v>0</v>
      </c>
      <c r="C28" s="132">
        <f>'YEAR 1'!B28</f>
        <v>0</v>
      </c>
      <c r="D28" s="132">
        <f>'YEAR 2'!B28</f>
        <v>0</v>
      </c>
      <c r="E28" s="132">
        <f>'YEAR 3'!B27</f>
        <v>0</v>
      </c>
      <c r="F28" s="132">
        <f>'YEAR 4'!B27</f>
        <v>0</v>
      </c>
      <c r="G28" s="132">
        <f>'YEAR 5'!B27</f>
        <v>0</v>
      </c>
    </row>
    <row r="29" spans="1:7" s="47" customFormat="1" ht="12">
      <c r="A29" s="60" t="s">
        <v>100</v>
      </c>
      <c r="B29" s="132"/>
      <c r="C29" s="132">
        <f>'YEAR 1'!B29</f>
        <v>0</v>
      </c>
      <c r="D29" s="132">
        <f>'YEAR 2'!B29</f>
        <v>0</v>
      </c>
      <c r="E29" s="132">
        <f>'YEAR 3'!B28</f>
        <v>0</v>
      </c>
      <c r="F29" s="132">
        <f>'YEAR 4'!B28</f>
        <v>0</v>
      </c>
      <c r="G29" s="132">
        <f>'YEAR 5'!B28</f>
        <v>0</v>
      </c>
    </row>
    <row r="30" spans="1:7" s="45" customFormat="1" ht="12">
      <c r="A30" s="60" t="s">
        <v>101</v>
      </c>
      <c r="B30" s="132"/>
      <c r="C30" s="132">
        <f>'YEAR 1'!B30</f>
        <v>0</v>
      </c>
      <c r="D30" s="132">
        <f>'YEAR 2'!B30</f>
        <v>0</v>
      </c>
      <c r="E30" s="132">
        <f>'YEAR 3'!B29</f>
        <v>0</v>
      </c>
      <c r="F30" s="132">
        <f>'YEAR 4'!B29</f>
        <v>0</v>
      </c>
      <c r="G30" s="132">
        <f>'YEAR 5'!B29</f>
        <v>0</v>
      </c>
    </row>
    <row r="31" spans="1:7" ht="12">
      <c r="A31" s="60" t="s">
        <v>269</v>
      </c>
      <c r="B31" s="132">
        <f>'Combined '!B11</f>
        <v>253702</v>
      </c>
      <c r="C31" s="132">
        <f>'YEAR 1'!B31</f>
        <v>253702</v>
      </c>
      <c r="D31" s="132">
        <f>'YEAR 2'!B31</f>
        <v>253702</v>
      </c>
      <c r="E31" s="132">
        <f>'YEAR 3'!B30</f>
        <v>253702</v>
      </c>
      <c r="F31" s="132">
        <f>'YEAR 4'!B30</f>
        <v>253702</v>
      </c>
      <c r="G31" s="132">
        <f>'YEAR 5'!B30</f>
        <v>253702</v>
      </c>
    </row>
    <row r="32" spans="1:7" ht="12">
      <c r="A32" s="60" t="s">
        <v>47</v>
      </c>
      <c r="B32" s="132">
        <f>'YEAR 0 - Budget and Cash Flow'!J13+'YEAR 0 - Budget and Cash Flow'!R13</f>
        <v>0</v>
      </c>
      <c r="C32" s="132">
        <f>'YEAR 1'!B32</f>
        <v>0</v>
      </c>
      <c r="D32" s="132">
        <f>'YEAR 2'!B32</f>
        <v>0</v>
      </c>
      <c r="E32" s="132">
        <f>'YEAR 3'!B31</f>
        <v>0</v>
      </c>
      <c r="F32" s="132">
        <f>'YEAR 4'!B31</f>
        <v>0</v>
      </c>
      <c r="G32" s="132">
        <f>'YEAR 5'!B31</f>
        <v>0</v>
      </c>
    </row>
    <row r="33" spans="1:7" ht="12">
      <c r="A33" s="60" t="s">
        <v>47</v>
      </c>
      <c r="B33" s="132">
        <f>'YEAR 0 - Budget and Cash Flow'!J14+'YEAR 0 - Budget and Cash Flow'!R14</f>
        <v>0</v>
      </c>
      <c r="C33" s="132">
        <f>'YEAR 1'!B33</f>
        <v>0</v>
      </c>
      <c r="D33" s="132">
        <f>'YEAR 2'!B33</f>
        <v>0</v>
      </c>
      <c r="E33" s="132">
        <f>'YEAR 3'!B32</f>
        <v>0</v>
      </c>
      <c r="F33" s="132">
        <f>'YEAR 4'!B32</f>
        <v>0</v>
      </c>
      <c r="G33" s="132">
        <f>'YEAR 5'!B32</f>
        <v>0</v>
      </c>
    </row>
    <row r="34" spans="1:7" ht="12">
      <c r="A34" s="60" t="s">
        <v>47</v>
      </c>
      <c r="B34" s="132">
        <f>'YEAR 0 - Budget and Cash Flow'!J15+'YEAR 0 - Budget and Cash Flow'!R15</f>
        <v>0</v>
      </c>
      <c r="C34" s="132">
        <f>'YEAR 1'!B34</f>
        <v>0</v>
      </c>
      <c r="D34" s="132">
        <f>'YEAR 2'!B34</f>
        <v>0</v>
      </c>
      <c r="E34" s="132">
        <f>'YEAR 3'!B33</f>
        <v>0</v>
      </c>
      <c r="F34" s="132">
        <f>'YEAR 4'!B33</f>
        <v>0</v>
      </c>
      <c r="G34" s="132">
        <f>'YEAR 5'!B33</f>
        <v>0</v>
      </c>
    </row>
    <row r="35" spans="1:7" ht="12">
      <c r="A35" s="125" t="s">
        <v>4</v>
      </c>
      <c r="B35" s="135">
        <f>SUM(B5:B34)</f>
        <v>12569404</v>
      </c>
      <c r="C35" s="135">
        <f>'YEAR 1'!B35</f>
        <v>12569404</v>
      </c>
      <c r="D35" s="135">
        <f>'YEAR 2'!B35</f>
        <v>12818909.560131794</v>
      </c>
      <c r="E35" s="135">
        <f>'YEAR 3'!B34</f>
        <v>13068415.120263591</v>
      </c>
      <c r="F35" s="135">
        <f>'YEAR 4'!B34</f>
        <v>13317920.680395389</v>
      </c>
      <c r="G35" s="135">
        <f>'YEAR 5'!B34</f>
        <v>13567426.240527183</v>
      </c>
    </row>
    <row r="36" spans="1:7" ht="12">
      <c r="A36" s="122"/>
      <c r="B36" s="132"/>
      <c r="C36" s="132"/>
      <c r="D36" s="132"/>
      <c r="E36" s="132"/>
      <c r="F36" s="132"/>
      <c r="G36" s="132"/>
    </row>
    <row r="37" spans="1:7" ht="12">
      <c r="A37" s="121" t="s">
        <v>56</v>
      </c>
      <c r="B37" s="132"/>
      <c r="C37" s="132"/>
      <c r="D37" s="132"/>
      <c r="E37" s="132"/>
      <c r="F37" s="132"/>
      <c r="G37" s="132"/>
    </row>
    <row r="38" spans="1:7" ht="12">
      <c r="A38" s="122" t="s">
        <v>77</v>
      </c>
      <c r="B38" s="134"/>
      <c r="C38" s="134"/>
      <c r="D38" s="134"/>
      <c r="E38" s="134"/>
      <c r="F38" s="134"/>
      <c r="G38" s="134"/>
    </row>
    <row r="39" spans="1:7" s="47" customFormat="1" ht="12">
      <c r="A39" s="62" t="s">
        <v>73</v>
      </c>
      <c r="B39" s="132">
        <f>'Combined '!B36+'Combined '!B38</f>
        <v>7432801.724178783</v>
      </c>
      <c r="C39" s="132">
        <f>'YEAR 1'!B39</f>
        <v>7431588.000203785</v>
      </c>
      <c r="D39" s="132">
        <f>'YEAR 2'!B39</f>
        <v>7575111.700670337</v>
      </c>
      <c r="E39" s="132">
        <f>'YEAR 3'!B39</f>
        <v>7721604.741727856</v>
      </c>
      <c r="F39" s="132">
        <f>'YEAR 4'!B39</f>
        <v>7870270.132436456</v>
      </c>
      <c r="G39" s="132">
        <f>'YEAR 5'!B39</f>
        <v>8021136.670485056</v>
      </c>
    </row>
    <row r="40" spans="1:7" s="47" customFormat="1" ht="12">
      <c r="A40" s="126" t="s">
        <v>151</v>
      </c>
      <c r="B40" s="132">
        <f>'Combined '!B39</f>
        <v>176087.5304642545</v>
      </c>
      <c r="C40" s="132">
        <f>'YEAR 1'!B40</f>
        <v>176087.5304642545</v>
      </c>
      <c r="D40" s="132">
        <f>'YEAR 2'!B40</f>
        <v>185173.29892247598</v>
      </c>
      <c r="E40" s="132">
        <f>'YEAR 3'!B40</f>
        <v>194423.1739968155</v>
      </c>
      <c r="F40" s="132">
        <f>'YEAR 4'!B40</f>
        <v>203839.52924274953</v>
      </c>
      <c r="G40" s="132">
        <f>'YEAR 5'!B40</f>
        <v>213424.76927620257</v>
      </c>
    </row>
    <row r="41" spans="1:7" s="47" customFormat="1" ht="12">
      <c r="A41" s="61" t="s">
        <v>74</v>
      </c>
      <c r="B41" s="132">
        <f>'Combined '!B40</f>
        <v>58289</v>
      </c>
      <c r="C41" s="132">
        <f>'YEAR 1'!B41</f>
        <v>58355.28</v>
      </c>
      <c r="D41" s="132">
        <f>'YEAR 2'!B41</f>
        <v>60244.9691261944</v>
      </c>
      <c r="E41" s="132">
        <f>'YEAR 3'!B41</f>
        <v>62166.61650691269</v>
      </c>
      <c r="F41" s="132">
        <f>'YEAR 4'!B41</f>
        <v>64120.67233833272</v>
      </c>
      <c r="G41" s="132">
        <f>'YEAR 5'!B41</f>
        <v>66107.59262473046</v>
      </c>
    </row>
    <row r="42" spans="1:7" ht="12">
      <c r="A42" s="61" t="s">
        <v>75</v>
      </c>
      <c r="B42" s="132"/>
      <c r="C42" s="132">
        <f>'YEAR 1'!B42</f>
        <v>0</v>
      </c>
      <c r="D42" s="132">
        <f>'YEAR 2'!B42</f>
        <v>0</v>
      </c>
      <c r="E42" s="132">
        <f>'YEAR 3'!B42</f>
        <v>0</v>
      </c>
      <c r="F42" s="132">
        <f>'YEAR 4'!B42</f>
        <v>0</v>
      </c>
      <c r="G42" s="132">
        <f>'YEAR 5'!B42</f>
        <v>0</v>
      </c>
    </row>
    <row r="43" spans="1:7" ht="12">
      <c r="A43" s="126" t="s">
        <v>47</v>
      </c>
      <c r="B43" s="132">
        <f>'YEAR 0 - Budget and Cash Flow'!J22+'YEAR 0 - Budget and Cash Flow'!R22</f>
        <v>0</v>
      </c>
      <c r="C43" s="132">
        <f>'YEAR 1'!B43</f>
        <v>0</v>
      </c>
      <c r="D43" s="132">
        <f>'YEAR 2'!B43</f>
        <v>0</v>
      </c>
      <c r="E43" s="132">
        <f>'YEAR 3'!B42</f>
        <v>0</v>
      </c>
      <c r="F43" s="132">
        <f>'YEAR 4'!B43</f>
        <v>0</v>
      </c>
      <c r="G43" s="132">
        <f>'YEAR 5'!B43</f>
        <v>0</v>
      </c>
    </row>
    <row r="44" spans="1:7" ht="12">
      <c r="A44" s="126" t="s">
        <v>47</v>
      </c>
      <c r="B44" s="132">
        <f>'YEAR 0 - Budget and Cash Flow'!J23+'YEAR 0 - Budget and Cash Flow'!R23</f>
        <v>0</v>
      </c>
      <c r="C44" s="132">
        <f>'YEAR 1'!B44</f>
        <v>0</v>
      </c>
      <c r="D44" s="132">
        <f>'YEAR 2'!B44</f>
        <v>0</v>
      </c>
      <c r="E44" s="132">
        <f>'YEAR 3'!B43</f>
        <v>0</v>
      </c>
      <c r="F44" s="132">
        <f>'YEAR 4'!B43</f>
        <v>0</v>
      </c>
      <c r="G44" s="132">
        <f>'YEAR 5'!B44</f>
        <v>0</v>
      </c>
    </row>
    <row r="45" spans="1:7" ht="12">
      <c r="A45" s="126" t="s">
        <v>47</v>
      </c>
      <c r="B45" s="132">
        <f>'YEAR 0 - Budget and Cash Flow'!J24+'YEAR 0 - Budget and Cash Flow'!R24</f>
        <v>0</v>
      </c>
      <c r="C45" s="132">
        <f>'YEAR 1'!B45</f>
        <v>0</v>
      </c>
      <c r="D45" s="132">
        <f>'YEAR 2'!B45</f>
        <v>0</v>
      </c>
      <c r="E45" s="132">
        <f>'YEAR 3'!B44</f>
        <v>0</v>
      </c>
      <c r="F45" s="132">
        <f>'YEAR 4'!B44</f>
        <v>0</v>
      </c>
      <c r="G45" s="132">
        <f>'YEAR 5'!B45</f>
        <v>0</v>
      </c>
    </row>
    <row r="46" spans="1:7" ht="12">
      <c r="A46" s="126" t="s">
        <v>47</v>
      </c>
      <c r="B46" s="132">
        <f>'YEAR 0 - Budget and Cash Flow'!J25+'YEAR 0 - Budget and Cash Flow'!R25</f>
        <v>0</v>
      </c>
      <c r="C46" s="132">
        <f>'YEAR 1'!B46</f>
        <v>0</v>
      </c>
      <c r="D46" s="132">
        <f>'YEAR 2'!B46</f>
        <v>0</v>
      </c>
      <c r="E46" s="132">
        <f>'YEAR 3'!B45</f>
        <v>0</v>
      </c>
      <c r="F46" s="132">
        <f>'YEAR 4'!B45</f>
        <v>0</v>
      </c>
      <c r="G46" s="132">
        <f>'YEAR 5'!B46</f>
        <v>0</v>
      </c>
    </row>
    <row r="47" spans="1:7" ht="12">
      <c r="A47" s="126" t="s">
        <v>47</v>
      </c>
      <c r="B47" s="132">
        <f>'YEAR 0 - Budget and Cash Flow'!J26+'YEAR 0 - Budget and Cash Flow'!R26</f>
        <v>0</v>
      </c>
      <c r="C47" s="132">
        <f>'YEAR 1'!B47</f>
        <v>0</v>
      </c>
      <c r="D47" s="132">
        <f>'YEAR 2'!B47</f>
        <v>0</v>
      </c>
      <c r="E47" s="132">
        <f>'YEAR 3'!B46</f>
        <v>0</v>
      </c>
      <c r="F47" s="132">
        <f>'YEAR 4'!B46</f>
        <v>0</v>
      </c>
      <c r="G47" s="132">
        <f>'YEAR 5'!B47</f>
        <v>0</v>
      </c>
    </row>
    <row r="48" spans="1:7" ht="12">
      <c r="A48" s="125" t="s">
        <v>76</v>
      </c>
      <c r="B48" s="132">
        <f>'Combined '!B42</f>
        <v>7667178.254643037</v>
      </c>
      <c r="C48" s="132">
        <f>'YEAR 1'!B48</f>
        <v>7666030.810668039</v>
      </c>
      <c r="D48" s="132">
        <f>'YEAR 2'!B48</f>
        <v>7820529.968719008</v>
      </c>
      <c r="E48" s="132">
        <f>'YEAR 3'!B48</f>
        <v>7978194.532231584</v>
      </c>
      <c r="F48" s="132">
        <f>'YEAR 4'!B48</f>
        <v>8138230.334017538</v>
      </c>
      <c r="G48" s="132">
        <f>SUM(G39:G47)</f>
        <v>8300669.032385989</v>
      </c>
    </row>
    <row r="49" spans="1:7" s="45" customFormat="1" ht="12">
      <c r="A49" s="62"/>
      <c r="B49" s="132"/>
      <c r="C49" s="132"/>
      <c r="D49" s="132">
        <f>D48-'Combined '!D42</f>
        <v>0</v>
      </c>
      <c r="E49" s="132"/>
      <c r="F49" s="132"/>
      <c r="G49" s="132"/>
    </row>
    <row r="50" spans="1:7" s="45" customFormat="1" ht="12">
      <c r="A50" s="123" t="s">
        <v>78</v>
      </c>
      <c r="B50" s="132"/>
      <c r="C50" s="132"/>
      <c r="D50" s="132"/>
      <c r="E50" s="132"/>
      <c r="F50" s="132"/>
      <c r="G50" s="132"/>
    </row>
    <row r="51" spans="1:7" s="87" customFormat="1" ht="12">
      <c r="A51" s="127" t="s">
        <v>6</v>
      </c>
      <c r="B51" s="132">
        <f>'Combined '!B44</f>
        <v>44000</v>
      </c>
      <c r="C51" s="132">
        <f>'YEAR 1'!B51</f>
        <v>44000</v>
      </c>
      <c r="D51" s="132">
        <f>'YEAR 2'!B51</f>
        <v>45583.945634266885</v>
      </c>
      <c r="E51" s="132">
        <f>'YEAR 3'!B51</f>
        <v>47195.17018121912</v>
      </c>
      <c r="F51" s="132">
        <f>'YEAR 4'!B52</f>
        <v>48834.06082454695</v>
      </c>
      <c r="G51" s="132">
        <f>'YEAR 5'!B51</f>
        <v>50501.009763723225</v>
      </c>
    </row>
    <row r="52" spans="1:7" s="87" customFormat="1" ht="12">
      <c r="A52" s="127" t="s">
        <v>7</v>
      </c>
      <c r="B52" s="132">
        <f>'Combined '!B45</f>
        <v>3000</v>
      </c>
      <c r="C52" s="132">
        <f>'YEAR 1'!B52</f>
        <v>3000</v>
      </c>
      <c r="D52" s="132">
        <f>'YEAR 2'!B52</f>
        <v>3092.3970345963758</v>
      </c>
      <c r="E52" s="132">
        <f>'YEAR 3'!B52</f>
        <v>3186.342009884679</v>
      </c>
      <c r="F52" s="132">
        <f>'YEAR 4'!B53</f>
        <v>3281.856644975288</v>
      </c>
      <c r="G52" s="132">
        <f>'YEAR 5'!B52</f>
        <v>3378.9629385667213</v>
      </c>
    </row>
    <row r="53" spans="1:7" s="45" customFormat="1" ht="12">
      <c r="A53" s="127" t="s">
        <v>8</v>
      </c>
      <c r="B53" s="132">
        <f>'Combined '!B46</f>
        <v>0</v>
      </c>
      <c r="C53" s="132">
        <f>'YEAR 1'!B53</f>
        <v>0</v>
      </c>
      <c r="D53" s="132">
        <f>'YEAR 2'!B53</f>
        <v>0</v>
      </c>
      <c r="E53" s="132">
        <f>'YEAR 3'!B53</f>
        <v>0</v>
      </c>
      <c r="F53" s="132">
        <f>'YEAR 4'!B54</f>
        <v>0</v>
      </c>
      <c r="G53" s="132">
        <f>'YEAR 5'!B53</f>
        <v>0</v>
      </c>
    </row>
    <row r="54" spans="1:7" ht="12">
      <c r="A54" s="126" t="s">
        <v>9</v>
      </c>
      <c r="B54" s="132">
        <f>'Combined '!B47</f>
        <v>4500</v>
      </c>
      <c r="C54" s="132">
        <f>'YEAR 1'!B54</f>
        <v>16481.711631448732</v>
      </c>
      <c r="D54" s="132">
        <f>'YEAR 2'!B54</f>
        <v>17022.322325277593</v>
      </c>
      <c r="E54" s="132">
        <f>'YEAR 3'!B54</f>
        <v>17572.09706181988</v>
      </c>
      <c r="F54" s="132">
        <f>'YEAR 4'!B55</f>
        <v>18131.16506086049</v>
      </c>
      <c r="G54" s="132">
        <f>'YEAR 5'!B54</f>
        <v>18699.657210175727</v>
      </c>
    </row>
    <row r="55" spans="1:7" s="45" customFormat="1" ht="12">
      <c r="A55" s="126" t="s">
        <v>10</v>
      </c>
      <c r="B55" s="132">
        <f>'Combined '!B48</f>
        <v>0</v>
      </c>
      <c r="C55" s="132">
        <f>'YEAR 1'!B55</f>
        <v>0</v>
      </c>
      <c r="D55" s="132">
        <f>'YEAR 2'!B55</f>
        <v>0</v>
      </c>
      <c r="E55" s="132">
        <f>'YEAR 3'!B55</f>
        <v>0</v>
      </c>
      <c r="F55" s="132">
        <f>'YEAR 4'!B56</f>
        <v>0</v>
      </c>
      <c r="G55" s="132">
        <f>'YEAR 5'!B55</f>
        <v>0</v>
      </c>
    </row>
    <row r="56" spans="1:7" ht="12">
      <c r="A56" s="126" t="s">
        <v>11</v>
      </c>
      <c r="B56" s="132">
        <f>'Combined '!B49</f>
        <v>0</v>
      </c>
      <c r="C56" s="132">
        <f>'YEAR 1'!B56</f>
        <v>35000</v>
      </c>
      <c r="D56" s="132">
        <f>'YEAR 2'!B56</f>
        <v>72000</v>
      </c>
      <c r="E56" s="132">
        <f>'YEAR 3'!B56</f>
        <v>73798.71835443038</v>
      </c>
      <c r="F56" s="132">
        <f>'YEAR 4'!B57</f>
        <v>75626.21107594937</v>
      </c>
      <c r="G56" s="132">
        <f>'YEAR 5'!B56</f>
        <v>77482.8737800633</v>
      </c>
    </row>
    <row r="57" spans="1:7" ht="12">
      <c r="A57" s="126" t="s">
        <v>44</v>
      </c>
      <c r="B57" s="132">
        <f>'Combined '!B50</f>
        <v>107947</v>
      </c>
      <c r="C57" s="132">
        <f>'YEAR 1'!B57</f>
        <v>107947</v>
      </c>
      <c r="D57" s="132">
        <f>'YEAR 2'!B57</f>
        <v>111292.52230642505</v>
      </c>
      <c r="E57" s="132">
        <f>'YEAR 3'!B57</f>
        <v>114694.16035897858</v>
      </c>
      <c r="F57" s="132">
        <f>'YEAR 4'!B58</f>
        <v>118152.70192035256</v>
      </c>
      <c r="G57" s="132">
        <f>'YEAR 5'!B57</f>
        <v>121668.94489691812</v>
      </c>
    </row>
    <row r="58" spans="1:7" ht="12">
      <c r="A58" s="127" t="s">
        <v>12</v>
      </c>
      <c r="B58" s="132">
        <f>'Combined '!B51</f>
        <v>10000</v>
      </c>
      <c r="C58" s="132">
        <f>'YEAR 1'!B58</f>
        <v>20000</v>
      </c>
      <c r="D58" s="132">
        <f>'YEAR 2'!B58</f>
        <v>25515.980230642504</v>
      </c>
      <c r="E58" s="132">
        <f>'YEAR 3'!B58</f>
        <v>26191.28006589786</v>
      </c>
      <c r="F58" s="132">
        <f>'YEAR 4'!B59</f>
        <v>26877.534299835253</v>
      </c>
      <c r="G58" s="132">
        <f>'YEAR 5'!B58</f>
        <v>27574.894490444807</v>
      </c>
    </row>
    <row r="59" spans="1:7" ht="12">
      <c r="A59" s="61" t="s">
        <v>66</v>
      </c>
      <c r="B59" s="132">
        <f>'Combined '!B52</f>
        <v>111000</v>
      </c>
      <c r="C59" s="132">
        <f>'YEAR 1'!B59</f>
        <v>111000</v>
      </c>
      <c r="D59" s="132">
        <f>'YEAR 2'!B59</f>
        <v>115344.24629324547</v>
      </c>
      <c r="E59" s="132">
        <f>'YEAR 3'!B59</f>
        <v>119764.27751235582</v>
      </c>
      <c r="F59" s="132">
        <f>'YEAR 4'!B60</f>
        <v>124261.17493121908</v>
      </c>
      <c r="G59" s="132">
        <f>'YEAR 5'!B59</f>
        <v>128836.03387070837</v>
      </c>
    </row>
    <row r="60" spans="1:7" ht="12">
      <c r="A60" s="126" t="s">
        <v>47</v>
      </c>
      <c r="B60" s="132">
        <f>'YEAR 0 - Budget and Cash Flow'!J39+'YEAR 0 - Budget and Cash Flow'!R39</f>
        <v>0</v>
      </c>
      <c r="C60" s="132">
        <f>'YEAR 1'!B60</f>
        <v>0</v>
      </c>
      <c r="D60" s="132">
        <f>'YEAR 2'!B60</f>
        <v>0</v>
      </c>
      <c r="E60" s="132">
        <f>'YEAR 3'!B60</f>
        <v>0</v>
      </c>
      <c r="F60" s="132">
        <f>'YEAR 4'!B61</f>
        <v>0</v>
      </c>
      <c r="G60" s="132">
        <f>'YEAR 5'!B60</f>
        <v>0</v>
      </c>
    </row>
    <row r="61" spans="1:7" ht="12">
      <c r="A61" s="126" t="s">
        <v>47</v>
      </c>
      <c r="B61" s="132">
        <f>'YEAR 0 - Budget and Cash Flow'!J40+'YEAR 0 - Budget and Cash Flow'!R40</f>
        <v>0</v>
      </c>
      <c r="C61" s="132">
        <f>'YEAR 1'!B61</f>
        <v>0</v>
      </c>
      <c r="D61" s="132">
        <f>'YEAR 2'!B61</f>
        <v>0</v>
      </c>
      <c r="E61" s="132">
        <f>'YEAR 3'!B61</f>
        <v>0</v>
      </c>
      <c r="F61" s="132">
        <f>'YEAR 4'!B62</f>
        <v>0</v>
      </c>
      <c r="G61" s="132">
        <f>'YEAR 5'!B61</f>
        <v>0</v>
      </c>
    </row>
    <row r="62" spans="1:7" ht="12">
      <c r="A62" s="126" t="s">
        <v>47</v>
      </c>
      <c r="B62" s="132">
        <f>'YEAR 0 - Budget and Cash Flow'!J41+'YEAR 0 - Budget and Cash Flow'!R41</f>
        <v>0</v>
      </c>
      <c r="C62" s="132">
        <f>'YEAR 1'!B62</f>
        <v>0</v>
      </c>
      <c r="D62" s="132">
        <f>'YEAR 2'!B62</f>
        <v>0</v>
      </c>
      <c r="E62" s="132">
        <f>'YEAR 3'!B62</f>
        <v>0</v>
      </c>
      <c r="F62" s="132">
        <f>'YEAR 4'!B63</f>
        <v>0</v>
      </c>
      <c r="G62" s="132">
        <f>'YEAR 5'!B62</f>
        <v>0</v>
      </c>
    </row>
    <row r="63" spans="1:7" ht="12">
      <c r="A63" s="126" t="s">
        <v>47</v>
      </c>
      <c r="B63" s="132">
        <f>'YEAR 0 - Budget and Cash Flow'!J42+'YEAR 0 - Budget and Cash Flow'!R42</f>
        <v>0</v>
      </c>
      <c r="C63" s="132">
        <f>'YEAR 1'!B63</f>
        <v>0</v>
      </c>
      <c r="D63" s="132">
        <f>'YEAR 2'!B63</f>
        <v>0</v>
      </c>
      <c r="E63" s="132">
        <f>'YEAR 3'!B63</f>
        <v>0</v>
      </c>
      <c r="F63" s="132">
        <f>'YEAR 4'!B64</f>
        <v>0</v>
      </c>
      <c r="G63" s="132">
        <f>'YEAR 5'!B63</f>
        <v>0</v>
      </c>
    </row>
    <row r="64" spans="1:7" ht="12">
      <c r="A64" s="126" t="s">
        <v>47</v>
      </c>
      <c r="B64" s="132">
        <f>'YEAR 0 - Budget and Cash Flow'!J43+'YEAR 0 - Budget and Cash Flow'!R43</f>
        <v>0</v>
      </c>
      <c r="C64" s="132">
        <f>'YEAR 1'!B64</f>
        <v>0</v>
      </c>
      <c r="D64" s="132">
        <f>'YEAR 2'!B64</f>
        <v>0</v>
      </c>
      <c r="E64" s="132">
        <f>'YEAR 3'!B64</f>
        <v>0</v>
      </c>
      <c r="F64" s="132">
        <v>0</v>
      </c>
      <c r="G64" s="132">
        <f>'YEAR 5'!B64</f>
        <v>0</v>
      </c>
    </row>
    <row r="65" spans="1:7" ht="12">
      <c r="A65" s="125" t="s">
        <v>79</v>
      </c>
      <c r="B65" s="132">
        <f>SUM(B51:B64)</f>
        <v>280447</v>
      </c>
      <c r="C65" s="132">
        <f>'YEAR 1'!B65</f>
        <v>337428.7116314487</v>
      </c>
      <c r="D65" s="132">
        <f>SUM(D51:D64)</f>
        <v>389851.41382445383</v>
      </c>
      <c r="E65" s="132">
        <f>SUM(E51:E64)</f>
        <v>402402.0455445863</v>
      </c>
      <c r="F65" s="132">
        <f>SUM(F51:F64)</f>
        <v>415164.70475773903</v>
      </c>
      <c r="G65" s="132">
        <f>SUM(G51:G64)</f>
        <v>428142.37695060024</v>
      </c>
    </row>
    <row r="66" spans="1:7" ht="12">
      <c r="A66" s="62"/>
      <c r="B66" s="133"/>
      <c r="C66" s="133"/>
      <c r="D66" s="133"/>
      <c r="E66" s="133"/>
      <c r="F66" s="133"/>
      <c r="G66" s="133"/>
    </row>
    <row r="67" spans="1:7" ht="12">
      <c r="A67" s="123" t="s">
        <v>45</v>
      </c>
      <c r="B67" s="132"/>
      <c r="C67" s="132"/>
      <c r="D67" s="132"/>
      <c r="E67" s="132"/>
      <c r="F67" s="132"/>
      <c r="G67" s="132"/>
    </row>
    <row r="68" spans="1:7" ht="12">
      <c r="A68" s="126" t="s">
        <v>19</v>
      </c>
      <c r="B68" s="132">
        <f>'Combined '!B55</f>
        <v>11000</v>
      </c>
      <c r="C68" s="132">
        <f>'YEAR 1'!B68</f>
        <v>11000</v>
      </c>
      <c r="D68" s="132">
        <f>'YEAR 2'!B68</f>
        <v>18495.578253706757</v>
      </c>
      <c r="E68" s="132">
        <f>'YEAR 3'!B68</f>
        <v>19142.688072487646</v>
      </c>
      <c r="F68" s="132">
        <f>'YEAR 4'!B69</f>
        <v>19800.890529818782</v>
      </c>
      <c r="G68" s="132">
        <f>'YEAR 5'!B68</f>
        <v>20470.342767489292</v>
      </c>
    </row>
    <row r="69" spans="1:7" ht="12">
      <c r="A69" s="126" t="s">
        <v>20</v>
      </c>
      <c r="B69" s="132">
        <f>'Combined '!B56</f>
        <v>2500</v>
      </c>
      <c r="C69" s="132">
        <f>'YEAR 1'!B69</f>
        <v>2500</v>
      </c>
      <c r="D69" s="132">
        <f>'YEAR 2'!B69</f>
        <v>6345.995057660626</v>
      </c>
      <c r="E69" s="132">
        <f>'YEAR 3'!B69</f>
        <v>6514.490016474465</v>
      </c>
      <c r="F69" s="132">
        <f>'YEAR 4'!B70</f>
        <v>6685.720274958814</v>
      </c>
      <c r="G69" s="132">
        <f>'YEAR 5'!B69</f>
        <v>6859.723689611202</v>
      </c>
    </row>
    <row r="70" spans="1:7" ht="12">
      <c r="A70" s="61" t="s">
        <v>21</v>
      </c>
      <c r="B70" s="132">
        <f>'Combined '!B57</f>
        <v>10900</v>
      </c>
      <c r="C70" s="132">
        <f>'YEAR 1'!B70</f>
        <v>10900</v>
      </c>
      <c r="D70" s="132">
        <f>'YEAR 2'!B70</f>
        <v>11233.629324546953</v>
      </c>
      <c r="E70" s="132">
        <f>'YEAR 3'!B70</f>
        <v>11572.841235584845</v>
      </c>
      <c r="F70" s="132">
        <f>'YEAR 4'!B71</f>
        <v>11917.71402191104</v>
      </c>
      <c r="G70" s="132">
        <f>'YEAR 5'!B70</f>
        <v>12268.3269798402</v>
      </c>
    </row>
    <row r="71" spans="1:7" ht="12">
      <c r="A71" s="126" t="s">
        <v>22</v>
      </c>
      <c r="B71" s="132">
        <f>'Combined '!B58</f>
        <v>36229</v>
      </c>
      <c r="C71" s="132">
        <f>'YEAR 1'!B71</f>
        <v>36229</v>
      </c>
      <c r="D71" s="132">
        <f>'YEAR 2'!B71</f>
        <v>37477.411087314664</v>
      </c>
      <c r="E71" s="132">
        <f>'YEAR 3'!B71</f>
        <v>38747.16749637562</v>
      </c>
      <c r="F71" s="132">
        <f>'YEAR 4'!B72</f>
        <v>40038.57129250906</v>
      </c>
      <c r="G71" s="132">
        <f>'YEAR 5'!B71</f>
        <v>41351.92844781554</v>
      </c>
    </row>
    <row r="72" spans="1:7" ht="12">
      <c r="A72" s="126" t="str">
        <f>'Combined '!A59</f>
        <v>Office Equipment (copier/scanner/fax)</v>
      </c>
      <c r="B72" s="132">
        <f>'Combined '!B59</f>
        <v>2500</v>
      </c>
      <c r="C72" s="132">
        <f>'YEAR 1'!B72</f>
        <v>16000</v>
      </c>
      <c r="D72" s="132">
        <f>'YEAR 2'!B72</f>
        <v>37340.38220757825</v>
      </c>
      <c r="E72" s="132">
        <f>'YEAR 3'!B72</f>
        <v>38091.91205930807</v>
      </c>
      <c r="F72" s="132">
        <f>'YEAR 4'!B73</f>
        <v>38854.738469851734</v>
      </c>
      <c r="G72" s="132">
        <f>'YEAR 5'!B72</f>
        <v>39629.01221740033</v>
      </c>
    </row>
    <row r="73" spans="1:7" ht="12">
      <c r="A73" s="126" t="s">
        <v>47</v>
      </c>
      <c r="B73" s="132">
        <f>'YEAR 0 - Budget and Cash Flow'!J52+'YEAR 0 - Budget and Cash Flow'!R52</f>
        <v>0</v>
      </c>
      <c r="C73" s="132">
        <f>'YEAR 1'!B73</f>
        <v>0</v>
      </c>
      <c r="D73" s="132">
        <f>'YEAR 2'!B73</f>
        <v>0</v>
      </c>
      <c r="E73" s="132">
        <f>'YEAR 3'!B73</f>
        <v>0</v>
      </c>
      <c r="F73" s="132">
        <f>'YEAR 4'!B74</f>
        <v>0</v>
      </c>
      <c r="G73" s="132">
        <f>'YEAR 5'!B75</f>
        <v>0</v>
      </c>
    </row>
    <row r="74" spans="1:7" ht="12">
      <c r="A74" s="126" t="s">
        <v>47</v>
      </c>
      <c r="B74" s="132">
        <f>'YEAR 0 - Budget and Cash Flow'!J53+'YEAR 0 - Budget and Cash Flow'!R53</f>
        <v>0</v>
      </c>
      <c r="C74" s="132">
        <f>'YEAR 1'!B74</f>
        <v>0</v>
      </c>
      <c r="D74" s="132">
        <f>'YEAR 2'!B74</f>
        <v>0</v>
      </c>
      <c r="E74" s="132">
        <f>'YEAR 3'!B73</f>
        <v>0</v>
      </c>
      <c r="F74" s="132">
        <f>'YEAR 4'!B74</f>
        <v>0</v>
      </c>
      <c r="G74" s="132">
        <f>'YEAR 5'!B75</f>
        <v>0</v>
      </c>
    </row>
    <row r="75" spans="1:7" ht="12">
      <c r="A75" s="126" t="s">
        <v>47</v>
      </c>
      <c r="B75" s="132">
        <f>'YEAR 0 - Budget and Cash Flow'!J54+'YEAR 0 - Budget and Cash Flow'!R54</f>
        <v>0</v>
      </c>
      <c r="C75" s="132">
        <f>'YEAR 1'!B75</f>
        <v>0</v>
      </c>
      <c r="D75" s="132">
        <f>'YEAR 2'!B75</f>
        <v>0</v>
      </c>
      <c r="E75" s="132">
        <f>'YEAR 3'!B74</f>
        <v>0</v>
      </c>
      <c r="F75" s="132">
        <f>'YEAR 4'!B75</f>
        <v>0</v>
      </c>
      <c r="G75" s="132">
        <f>'YEAR 5'!B76</f>
        <v>0</v>
      </c>
    </row>
    <row r="76" spans="1:7" ht="12">
      <c r="A76" s="126" t="s">
        <v>47</v>
      </c>
      <c r="B76" s="132">
        <f>'YEAR 0 - Budget and Cash Flow'!J55+'YEAR 0 - Budget and Cash Flow'!R55</f>
        <v>0</v>
      </c>
      <c r="C76" s="132">
        <f>'YEAR 1'!B76</f>
        <v>0</v>
      </c>
      <c r="D76" s="132">
        <f>'YEAR 2'!B76</f>
        <v>0</v>
      </c>
      <c r="E76" s="132">
        <f>'YEAR 3'!B75</f>
        <v>0</v>
      </c>
      <c r="F76" s="132">
        <f>'YEAR 4'!B76</f>
        <v>0</v>
      </c>
      <c r="G76" s="132"/>
    </row>
    <row r="77" spans="1:7" ht="12">
      <c r="A77" s="125" t="s">
        <v>80</v>
      </c>
      <c r="B77" s="132">
        <f aca="true" t="shared" si="0" ref="B77:G77">SUM(B68:B76)</f>
        <v>63129</v>
      </c>
      <c r="C77" s="132">
        <f t="shared" si="0"/>
        <v>76629</v>
      </c>
      <c r="D77" s="132">
        <f t="shared" si="0"/>
        <v>110892.99593080726</v>
      </c>
      <c r="E77" s="132">
        <f t="shared" si="0"/>
        <v>114069.09888023065</v>
      </c>
      <c r="F77" s="132">
        <f t="shared" si="0"/>
        <v>117297.63458904944</v>
      </c>
      <c r="G77" s="132">
        <f t="shared" si="0"/>
        <v>120579.33410215657</v>
      </c>
    </row>
    <row r="78" spans="1:7" ht="12">
      <c r="A78" s="125"/>
      <c r="B78" s="132"/>
      <c r="C78" s="132"/>
      <c r="D78" s="132"/>
      <c r="E78" s="132"/>
      <c r="F78" s="132"/>
      <c r="G78" s="132"/>
    </row>
    <row r="79" spans="1:7" ht="12">
      <c r="A79" s="123" t="s">
        <v>54</v>
      </c>
      <c r="B79" s="132"/>
      <c r="C79" s="132"/>
      <c r="D79" s="132"/>
      <c r="E79" s="132"/>
      <c r="F79" s="132"/>
      <c r="G79" s="132"/>
    </row>
    <row r="80" spans="1:7" ht="12">
      <c r="A80" s="61" t="s">
        <v>55</v>
      </c>
      <c r="B80" s="132">
        <f>'YEAR 0 - Budget and Cash Flow'!J59+'YEAR 0 - Budget and Cash Flow'!R59</f>
        <v>0</v>
      </c>
      <c r="C80" s="132">
        <f>'YEAR 1'!B80</f>
        <v>0</v>
      </c>
      <c r="D80" s="132">
        <f>'YEAR 2'!B80</f>
        <v>0</v>
      </c>
      <c r="E80" s="132">
        <f>'YEAR 3'!B79</f>
        <v>0</v>
      </c>
      <c r="F80" s="132">
        <f>'YEAR 4'!B80</f>
        <v>0</v>
      </c>
      <c r="G80" s="132">
        <f>'YEAR 5'!B81</f>
        <v>0</v>
      </c>
    </row>
    <row r="81" spans="1:7" ht="12">
      <c r="A81" s="61" t="s">
        <v>13</v>
      </c>
      <c r="B81" s="132">
        <f>'YEAR 0 - Budget and Cash Flow'!J60+'YEAR 0 - Budget and Cash Flow'!R60</f>
        <v>0</v>
      </c>
      <c r="C81" s="132">
        <f>'YEAR 1'!B81</f>
        <v>0</v>
      </c>
      <c r="D81" s="132">
        <f>'YEAR 2'!B81</f>
        <v>0</v>
      </c>
      <c r="E81" s="132">
        <f>'YEAR 3'!B80</f>
        <v>0</v>
      </c>
      <c r="F81" s="132">
        <f>'YEAR 4'!B81</f>
        <v>0</v>
      </c>
      <c r="G81" s="132">
        <f>'YEAR 5'!B82</f>
        <v>0</v>
      </c>
    </row>
    <row r="82" spans="1:7" ht="12">
      <c r="A82" s="61" t="s">
        <v>14</v>
      </c>
      <c r="B82" s="132">
        <f>'YEAR 0 - Budget and Cash Flow'!J61+'YEAR 0 - Budget and Cash Flow'!R61</f>
        <v>0</v>
      </c>
      <c r="C82" s="132">
        <f>'YEAR 1'!B82</f>
        <v>0</v>
      </c>
      <c r="D82" s="132">
        <f>'YEAR 2'!B82</f>
        <v>0</v>
      </c>
      <c r="E82" s="132">
        <f>'YEAR 3'!B81</f>
        <v>0</v>
      </c>
      <c r="F82" s="132">
        <f>'YEAR 4'!B82</f>
        <v>0</v>
      </c>
      <c r="G82" s="132">
        <f>'YEAR 5'!B83</f>
        <v>0</v>
      </c>
    </row>
    <row r="83" spans="1:7" ht="12">
      <c r="A83" s="126" t="s">
        <v>47</v>
      </c>
      <c r="B83" s="132">
        <f>'YEAR 0 - Budget and Cash Flow'!J62+'YEAR 0 - Budget and Cash Flow'!R62</f>
        <v>0</v>
      </c>
      <c r="C83" s="132">
        <f>'YEAR 1'!B83</f>
        <v>0</v>
      </c>
      <c r="D83" s="132">
        <f>'YEAR 2'!B83</f>
        <v>0</v>
      </c>
      <c r="E83" s="132">
        <f>'YEAR 3'!B82</f>
        <v>0</v>
      </c>
      <c r="F83" s="132">
        <f>'YEAR 4'!B83</f>
        <v>0</v>
      </c>
      <c r="G83" s="132">
        <f>'YEAR 5'!B84</f>
        <v>0</v>
      </c>
    </row>
    <row r="84" spans="1:7" ht="12">
      <c r="A84" s="126" t="s">
        <v>47</v>
      </c>
      <c r="B84" s="132">
        <f>'YEAR 0 - Budget and Cash Flow'!J63+'YEAR 0 - Budget and Cash Flow'!R63</f>
        <v>0</v>
      </c>
      <c r="C84" s="132">
        <f>'YEAR 1'!B84</f>
        <v>0</v>
      </c>
      <c r="D84" s="132">
        <f>'YEAR 2'!B84</f>
        <v>0</v>
      </c>
      <c r="E84" s="132">
        <f>'YEAR 3'!B83</f>
        <v>0</v>
      </c>
      <c r="F84" s="132">
        <f>'YEAR 4'!B84</f>
        <v>0</v>
      </c>
      <c r="G84" s="132">
        <f>'YEAR 5'!B85</f>
        <v>0</v>
      </c>
    </row>
    <row r="85" spans="1:7" ht="12">
      <c r="A85" s="126" t="s">
        <v>47</v>
      </c>
      <c r="B85" s="132">
        <f>'YEAR 0 - Budget and Cash Flow'!J64+'YEAR 0 - Budget and Cash Flow'!R64</f>
        <v>0</v>
      </c>
      <c r="C85" s="132">
        <f>'YEAR 1'!B85</f>
        <v>0</v>
      </c>
      <c r="D85" s="132">
        <f>'YEAR 2'!B85</f>
        <v>0</v>
      </c>
      <c r="E85" s="132">
        <f>'YEAR 3'!B84</f>
        <v>0</v>
      </c>
      <c r="F85" s="132">
        <f>'YEAR 4'!B85</f>
        <v>0</v>
      </c>
      <c r="G85" s="132">
        <f>'YEAR 5'!B86</f>
        <v>0</v>
      </c>
    </row>
    <row r="86" spans="1:7" ht="12">
      <c r="A86" s="126" t="s">
        <v>47</v>
      </c>
      <c r="B86" s="132">
        <f>'YEAR 0 - Budget and Cash Flow'!J65+'YEAR 0 - Budget and Cash Flow'!R65</f>
        <v>0</v>
      </c>
      <c r="C86" s="132">
        <f>'YEAR 1'!B86</f>
        <v>0</v>
      </c>
      <c r="D86" s="132">
        <f>'YEAR 2'!B86</f>
        <v>0</v>
      </c>
      <c r="E86" s="132">
        <f>'YEAR 3'!B85</f>
        <v>0</v>
      </c>
      <c r="F86" s="132">
        <f>'YEAR 4'!B86</f>
        <v>0</v>
      </c>
      <c r="G86" s="132">
        <f>'YEAR 5'!B87</f>
        <v>0</v>
      </c>
    </row>
    <row r="87" spans="1:7" ht="12">
      <c r="A87" s="126" t="s">
        <v>47</v>
      </c>
      <c r="B87" s="132">
        <f>'YEAR 0 - Budget and Cash Flow'!J66+'YEAR 0 - Budget and Cash Flow'!R66</f>
        <v>0</v>
      </c>
      <c r="C87" s="132">
        <f>'YEAR 1'!B87</f>
        <v>0</v>
      </c>
      <c r="D87" s="132">
        <f>'YEAR 2'!B87</f>
        <v>0</v>
      </c>
      <c r="E87" s="132">
        <f>'YEAR 3'!B86</f>
        <v>0</v>
      </c>
      <c r="F87" s="132">
        <f>'YEAR 4'!B87</f>
        <v>0</v>
      </c>
      <c r="G87" s="132">
        <f>'YEAR 5'!B88</f>
        <v>0</v>
      </c>
    </row>
    <row r="88" spans="1:7" ht="12">
      <c r="A88" s="125" t="s">
        <v>81</v>
      </c>
      <c r="B88" s="132">
        <f>'YEAR 0 - Budget and Cash Flow'!J67+'YEAR 0 - Budget and Cash Flow'!R67</f>
        <v>0</v>
      </c>
      <c r="C88" s="132">
        <f>'YEAR 1'!B88</f>
        <v>0</v>
      </c>
      <c r="D88" s="132">
        <f>'YEAR 2'!B88</f>
        <v>0</v>
      </c>
      <c r="E88" s="132">
        <f>'YEAR 3'!B87</f>
        <v>0</v>
      </c>
      <c r="F88" s="132">
        <f>'YEAR 4'!B88</f>
        <v>0</v>
      </c>
      <c r="G88" s="132">
        <f>'YEAR 5'!B89</f>
        <v>0</v>
      </c>
    </row>
    <row r="89" spans="1:7" ht="12">
      <c r="A89" s="125"/>
      <c r="B89" s="132"/>
      <c r="C89" s="132"/>
      <c r="D89" s="132"/>
      <c r="E89" s="132"/>
      <c r="F89" s="132"/>
      <c r="G89" s="132"/>
    </row>
    <row r="90" spans="1:7" ht="12">
      <c r="A90" s="123" t="s">
        <v>46</v>
      </c>
      <c r="B90" s="132"/>
      <c r="C90" s="132"/>
      <c r="D90" s="132"/>
      <c r="E90" s="132"/>
      <c r="F90" s="132"/>
      <c r="G90" s="132"/>
    </row>
    <row r="91" spans="1:7" ht="12">
      <c r="A91" s="61" t="s">
        <v>15</v>
      </c>
      <c r="B91" s="132">
        <f>'Combined '!B67</f>
        <v>5000</v>
      </c>
      <c r="C91" s="132">
        <f>'YEAR 1'!B91</f>
        <v>5000</v>
      </c>
      <c r="D91" s="132">
        <f>'YEAR 2'!B91</f>
        <v>5050</v>
      </c>
      <c r="E91" s="132">
        <f>'YEAR 3'!B91</f>
        <v>5100.5</v>
      </c>
      <c r="F91" s="132">
        <f>'YEAR 4'!B92</f>
        <v>5151.505</v>
      </c>
      <c r="G91" s="132">
        <f>'YEAR 5'!B91</f>
        <v>5203.02005</v>
      </c>
    </row>
    <row r="92" spans="1:7" ht="12">
      <c r="A92" s="61" t="s">
        <v>148</v>
      </c>
      <c r="B92" s="132">
        <f>'Combined '!B68</f>
        <v>21049</v>
      </c>
      <c r="C92" s="132">
        <f>'YEAR 1'!B92</f>
        <v>21049</v>
      </c>
      <c r="D92" s="132">
        <f>'YEAR 2'!B92</f>
        <v>21259.49</v>
      </c>
      <c r="E92" s="132">
        <f>'YEAR 3'!B92</f>
        <v>21472.0849</v>
      </c>
      <c r="F92" s="132">
        <f>'YEAR 4'!B93</f>
        <v>21686.805749</v>
      </c>
      <c r="G92" s="132">
        <f>'YEAR 5'!B92</f>
        <v>21903.673806490002</v>
      </c>
    </row>
    <row r="93" spans="1:7" ht="12">
      <c r="A93" s="61" t="s">
        <v>16</v>
      </c>
      <c r="B93" s="132">
        <f>'Combined '!B69</f>
        <v>8141</v>
      </c>
      <c r="C93" s="132">
        <f>'YEAR 1'!B93</f>
        <v>40400.2</v>
      </c>
      <c r="D93" s="132">
        <f>'YEAR 2'!B93</f>
        <v>40804.202000000005</v>
      </c>
      <c r="E93" s="132">
        <f>'YEAR 3'!B93</f>
        <v>41212.24402</v>
      </c>
      <c r="F93" s="132">
        <f>'YEAR 4'!B94</f>
        <v>41624.3664602</v>
      </c>
      <c r="G93" s="132">
        <f>'YEAR 5'!B93</f>
        <v>42040.610124802</v>
      </c>
    </row>
    <row r="94" spans="1:7" ht="12">
      <c r="A94" s="61" t="s">
        <v>17</v>
      </c>
      <c r="B94" s="132">
        <f>'Combined '!B70</f>
        <v>48918</v>
      </c>
      <c r="C94" s="132">
        <f>'YEAR 1'!B94</f>
        <v>48918</v>
      </c>
      <c r="D94" s="132">
        <f>'YEAR 2'!B94</f>
        <v>49407.18</v>
      </c>
      <c r="E94" s="132">
        <f>'YEAR 3'!B94</f>
        <v>49901.2518</v>
      </c>
      <c r="F94" s="132">
        <f>'YEAR 4'!B95</f>
        <v>50400.264318</v>
      </c>
      <c r="G94" s="132">
        <f>'YEAR 5'!B94</f>
        <v>50904.26696118</v>
      </c>
    </row>
    <row r="95" spans="1:7" ht="12">
      <c r="A95" s="61" t="s">
        <v>18</v>
      </c>
      <c r="B95" s="132">
        <f>'Combined '!B71</f>
        <v>23500</v>
      </c>
      <c r="C95" s="132">
        <f>'YEAR 1'!B95</f>
        <v>23500</v>
      </c>
      <c r="D95" s="132">
        <f>'YEAR 2'!B95</f>
        <v>23735</v>
      </c>
      <c r="E95" s="132">
        <f>'YEAR 3'!B95</f>
        <v>23972.350000000002</v>
      </c>
      <c r="F95" s="132">
        <f>'YEAR 4'!B96</f>
        <v>24212.073500000002</v>
      </c>
      <c r="G95" s="132">
        <f>'YEAR 5'!B95</f>
        <v>24454.194235000003</v>
      </c>
    </row>
    <row r="96" spans="1:7" ht="12">
      <c r="A96" s="126" t="s">
        <v>26</v>
      </c>
      <c r="B96" s="132">
        <f>'Combined '!B72</f>
        <v>113925</v>
      </c>
      <c r="C96" s="132">
        <f>'YEAR 1'!B96</f>
        <v>15189.142002374392</v>
      </c>
      <c r="D96" s="132">
        <f>'YEAR 2'!B96</f>
        <v>15341.033422398135</v>
      </c>
      <c r="E96" s="132">
        <f>'YEAR 3'!B96</f>
        <v>15494.443756622117</v>
      </c>
      <c r="F96" s="132">
        <f>'YEAR 4'!B97</f>
        <v>15649.388194188337</v>
      </c>
      <c r="G96" s="132">
        <f>'YEAR 5'!B96</f>
        <v>15805.882076130223</v>
      </c>
    </row>
    <row r="97" spans="1:7" ht="12">
      <c r="A97" s="61" t="s">
        <v>23</v>
      </c>
      <c r="B97" s="132">
        <f>'Combined '!B73</f>
        <v>59200</v>
      </c>
      <c r="C97" s="132">
        <f>'YEAR 1'!B97</f>
        <v>59200</v>
      </c>
      <c r="D97" s="132">
        <f>'YEAR 2'!B97</f>
        <v>59792</v>
      </c>
      <c r="E97" s="132">
        <f>'YEAR 3'!B97</f>
        <v>60389.92</v>
      </c>
      <c r="F97" s="132">
        <f>'YEAR 4'!B98</f>
        <v>60993.8192</v>
      </c>
      <c r="G97" s="132">
        <f>'YEAR 5'!B97</f>
        <v>61603.757392</v>
      </c>
    </row>
    <row r="98" spans="1:7" ht="12">
      <c r="A98" s="61" t="s">
        <v>24</v>
      </c>
      <c r="B98" s="132">
        <f>'Combined '!B74</f>
        <v>35100</v>
      </c>
      <c r="C98" s="132">
        <f>'YEAR 1'!B98</f>
        <v>35100</v>
      </c>
      <c r="D98" s="132">
        <f>'YEAR 2'!B98</f>
        <v>35451</v>
      </c>
      <c r="E98" s="132">
        <f>'YEAR 3'!B98</f>
        <v>35805.51</v>
      </c>
      <c r="F98" s="132">
        <f>'YEAR 4'!B99</f>
        <v>36163.56510000001</v>
      </c>
      <c r="G98" s="132">
        <f>'YEAR 5'!B98</f>
        <v>36525.200751000004</v>
      </c>
    </row>
    <row r="99" spans="1:7" ht="24">
      <c r="A99" s="61" t="s">
        <v>113</v>
      </c>
      <c r="B99" s="132">
        <f>'Combined '!B75</f>
        <v>85350</v>
      </c>
      <c r="C99" s="132">
        <f>'YEAR 1'!B99</f>
        <v>122575</v>
      </c>
      <c r="D99" s="132">
        <f>'YEAR 2'!B99</f>
        <v>123800.75</v>
      </c>
      <c r="E99" s="132">
        <f>'YEAR 3'!B99</f>
        <v>125038.7575</v>
      </c>
      <c r="F99" s="132">
        <f>'YEAR 4'!B100</f>
        <v>126289.14507500001</v>
      </c>
      <c r="G99" s="132">
        <f>'YEAR 5'!B99</f>
        <v>127552.03652575001</v>
      </c>
    </row>
    <row r="100" spans="1:7" ht="12">
      <c r="A100" s="126" t="s">
        <v>30</v>
      </c>
      <c r="B100" s="132">
        <f>'Combined '!B76</f>
        <v>1650</v>
      </c>
      <c r="C100" s="132">
        <f>'YEAR 1'!B100</f>
        <v>1650</v>
      </c>
      <c r="D100" s="132">
        <f>'YEAR 2'!B100</f>
        <v>1666.5</v>
      </c>
      <c r="E100" s="132">
        <f>'YEAR 3'!B100</f>
        <v>1683.1650000000002</v>
      </c>
      <c r="F100" s="132">
        <f>'YEAR 4'!B101</f>
        <v>1699.99665</v>
      </c>
      <c r="G100" s="132">
        <f>'YEAR 5'!B100</f>
        <v>1716.9966165000003</v>
      </c>
    </row>
    <row r="101" spans="1:7" ht="12">
      <c r="A101" s="126" t="s">
        <v>31</v>
      </c>
      <c r="B101" s="132">
        <f>'Combined '!B77</f>
        <v>6125</v>
      </c>
      <c r="C101" s="132">
        <f>'YEAR 1'!B101</f>
        <v>6125</v>
      </c>
      <c r="D101" s="132">
        <f>'YEAR 2'!B101</f>
        <v>6186.25</v>
      </c>
      <c r="E101" s="132">
        <f>'YEAR 3'!B101</f>
        <v>6248.1125</v>
      </c>
      <c r="F101" s="132">
        <f>'YEAR 4'!B102</f>
        <v>6310.5936249999995</v>
      </c>
      <c r="G101" s="132">
        <f>'YEAR 5'!B101</f>
        <v>6373.6995612499995</v>
      </c>
    </row>
    <row r="102" spans="1:7" ht="12">
      <c r="A102" s="126" t="s">
        <v>102</v>
      </c>
      <c r="B102" s="132">
        <f>'Combined '!B78</f>
        <v>63500</v>
      </c>
      <c r="C102" s="132">
        <f>'YEAR 1'!B102</f>
        <v>65500</v>
      </c>
      <c r="D102" s="132">
        <f>'YEAR 2'!B102</f>
        <v>66155</v>
      </c>
      <c r="E102" s="132">
        <f>'YEAR 3'!B102</f>
        <v>66816.55</v>
      </c>
      <c r="F102" s="132">
        <f>'YEAR 4'!B103</f>
        <v>67484.71549999999</v>
      </c>
      <c r="G102" s="132">
        <f>'YEAR 5'!B102</f>
        <v>68159.562655</v>
      </c>
    </row>
    <row r="103" spans="1:7" ht="12">
      <c r="A103" s="126" t="s">
        <v>48</v>
      </c>
      <c r="B103" s="132">
        <f>'Combined '!B79</f>
        <v>0</v>
      </c>
      <c r="C103" s="132">
        <f>'YEAR 1'!B103</f>
        <v>0</v>
      </c>
      <c r="D103" s="132">
        <f>'YEAR 2'!B103</f>
        <v>18180</v>
      </c>
      <c r="E103" s="132">
        <f>'YEAR 3'!B103</f>
        <v>18361.8</v>
      </c>
      <c r="F103" s="132">
        <f>'YEAR 4'!B104</f>
        <v>29045.417999999998</v>
      </c>
      <c r="G103" s="132">
        <f>'YEAR 5'!B103</f>
        <v>29335.87218</v>
      </c>
    </row>
    <row r="104" spans="1:7" ht="12">
      <c r="A104" s="126" t="s">
        <v>27</v>
      </c>
      <c r="B104" s="132">
        <f>'Combined '!B80</f>
        <v>688675</v>
      </c>
      <c r="C104" s="132">
        <f>'YEAR 1'!B104</f>
        <v>688675</v>
      </c>
      <c r="D104" s="132">
        <f>'YEAR 2'!B104</f>
        <v>709198.621911038</v>
      </c>
      <c r="E104" s="132">
        <f>'YEAR 3'!B104</f>
        <v>730063.8487602966</v>
      </c>
      <c r="F104" s="132">
        <f>'YEAR 4'!B105</f>
        <v>751275.4602843493</v>
      </c>
      <c r="G104" s="132">
        <f>'YEAR 5'!B104</f>
        <v>772838.2976540069</v>
      </c>
    </row>
    <row r="105" spans="1:7" ht="12">
      <c r="A105" s="126" t="s">
        <v>28</v>
      </c>
      <c r="B105" s="132">
        <f>'Combined '!B81</f>
        <v>115200</v>
      </c>
      <c r="C105" s="132">
        <f>'YEAR 1'!B105</f>
        <v>115200</v>
      </c>
      <c r="D105" s="132">
        <f>'YEAR 2'!B105</f>
        <v>116352</v>
      </c>
      <c r="E105" s="132">
        <f>'YEAR 3'!B105</f>
        <v>117515.51999999999</v>
      </c>
      <c r="F105" s="132">
        <f>'YEAR 4'!B106</f>
        <v>118690.6752</v>
      </c>
      <c r="G105" s="132">
        <f>'YEAR 5'!B105</f>
        <v>119877.581952</v>
      </c>
    </row>
    <row r="106" spans="1:7" ht="12">
      <c r="A106" s="126" t="s">
        <v>153</v>
      </c>
      <c r="B106" s="132">
        <f>'YEAR 0 - Budget and Cash Flow'!J85+'YEAR 0 - Budget and Cash Flow'!R85</f>
        <v>0</v>
      </c>
      <c r="C106" s="132">
        <f>'YEAR 1'!B106</f>
        <v>0</v>
      </c>
      <c r="D106" s="132">
        <f>'YEAR 2'!B106</f>
        <v>0</v>
      </c>
      <c r="E106" s="132">
        <f>'YEAR 3'!B106</f>
        <v>0</v>
      </c>
      <c r="F106" s="132">
        <f>'YEAR 4'!B107</f>
        <v>0</v>
      </c>
      <c r="G106" s="132">
        <f>'YEAR 5'!B106</f>
        <v>0</v>
      </c>
    </row>
    <row r="107" spans="1:7" ht="12">
      <c r="A107" s="126" t="s">
        <v>271</v>
      </c>
      <c r="B107" s="132">
        <f>'Combined '!B83</f>
        <v>10626</v>
      </c>
      <c r="C107" s="132">
        <f>'YEAR 1'!B107</f>
        <v>16626</v>
      </c>
      <c r="D107" s="132">
        <f>'YEAR 2'!B107</f>
        <v>17041.848138385503</v>
      </c>
      <c r="E107" s="132">
        <f>'YEAR 3'!B107</f>
        <v>17464.350639538716</v>
      </c>
      <c r="F107" s="132">
        <f>'YEAR 4'!B108</f>
        <v>17893.599005901153</v>
      </c>
      <c r="G107" s="132">
        <f>'YEAR 5'!B107</f>
        <v>18329.685904526887</v>
      </c>
    </row>
    <row r="108" spans="1:7" ht="12">
      <c r="A108" s="126" t="s">
        <v>272</v>
      </c>
      <c r="B108" s="132">
        <f>'Combined '!B84</f>
        <v>0</v>
      </c>
      <c r="C108" s="132">
        <f>'YEAR 1'!B108</f>
        <v>11833.805771428571</v>
      </c>
      <c r="D108" s="132">
        <f>'YEAR 2'!B108</f>
        <v>12110.21631678701</v>
      </c>
      <c r="E108" s="132">
        <f>'YEAR 3'!B108</f>
        <v>12390.971692475472</v>
      </c>
      <c r="F108" s="132">
        <f>'YEAR 4'!B109</f>
        <v>12676.131154046026</v>
      </c>
      <c r="G108" s="132">
        <f>'YEAR 5'!B108</f>
        <v>12965.754707678743</v>
      </c>
    </row>
    <row r="109" spans="1:7" ht="12">
      <c r="A109" s="126" t="s">
        <v>274</v>
      </c>
      <c r="B109" s="132">
        <f>'Combined '!B87+'Combined '!B82+'Combined '!B88</f>
        <v>18323</v>
      </c>
      <c r="C109" s="132">
        <f>'YEAR 1'!B109</f>
        <v>27781.922181066213</v>
      </c>
      <c r="D109" s="132">
        <f>'YEAR 2'!B109</f>
        <v>28393.87428602666</v>
      </c>
      <c r="E109" s="132">
        <f>'YEAR 3'!B109</f>
        <v>29015.287240868212</v>
      </c>
      <c r="F109" s="132">
        <f>'YEAR 4'!B110</f>
        <v>29646.289067378</v>
      </c>
      <c r="G109" s="132">
        <f>'YEAR 5'!B109</f>
        <v>30287.00940169389</v>
      </c>
    </row>
    <row r="110" spans="1:7" ht="12">
      <c r="A110" s="126" t="s">
        <v>273</v>
      </c>
      <c r="B110" s="132">
        <f>'Combined '!B86</f>
        <v>109376</v>
      </c>
      <c r="C110" s="132">
        <f>'YEAR 1'!B110</f>
        <v>127376</v>
      </c>
      <c r="D110" s="132">
        <f>'YEAR 2'!B110</f>
        <v>133199.58537067543</v>
      </c>
      <c r="E110" s="132">
        <f>'YEAR 3'!B110</f>
        <v>139126.9048487644</v>
      </c>
      <c r="F110" s="132">
        <f>'YEAR 4'!B111</f>
        <v>145159.45075787808</v>
      </c>
      <c r="G110" s="132">
        <f>'YEAR 5'!B110</f>
        <v>151298.73489468917</v>
      </c>
    </row>
    <row r="111" spans="1:7" s="47" customFormat="1" ht="12">
      <c r="A111" s="125" t="s">
        <v>82</v>
      </c>
      <c r="B111" s="132">
        <f>SUM(B91:B110)</f>
        <v>1413658</v>
      </c>
      <c r="C111" s="132">
        <f>'YEAR 1'!B111</f>
        <v>1431699.069954869</v>
      </c>
      <c r="D111" s="132">
        <f>SUM(D91:D110)</f>
        <v>1483124.5514453107</v>
      </c>
      <c r="E111" s="132">
        <f>SUM(E91:E110)</f>
        <v>1517073.5726585654</v>
      </c>
      <c r="F111" s="132">
        <f>SUM(F91:F110)</f>
        <v>1562053.261840941</v>
      </c>
      <c r="G111" s="132">
        <f>SUM(G91:G110)</f>
        <v>1597175.8374496978</v>
      </c>
    </row>
    <row r="112" spans="1:7" ht="12">
      <c r="A112" s="64"/>
      <c r="B112" s="136"/>
      <c r="C112" s="136"/>
      <c r="D112" s="136"/>
      <c r="E112" s="136"/>
      <c r="F112" s="136"/>
      <c r="G112" s="136"/>
    </row>
    <row r="113" spans="1:7" ht="12">
      <c r="A113" s="64" t="s">
        <v>32</v>
      </c>
      <c r="B113" s="135"/>
      <c r="C113" s="135"/>
      <c r="D113" s="135"/>
      <c r="E113" s="135"/>
      <c r="F113" s="135"/>
      <c r="G113" s="135"/>
    </row>
    <row r="114" spans="1:7" ht="12">
      <c r="A114" s="126" t="s">
        <v>33</v>
      </c>
      <c r="B114" s="132">
        <f>'Combined '!B91</f>
        <v>290716</v>
      </c>
      <c r="C114" s="132">
        <f>'YEAR 1'!B114</f>
        <v>290716</v>
      </c>
      <c r="D114" s="132">
        <f>'YEAR 2'!B114</f>
        <v>293623.16</v>
      </c>
      <c r="E114" s="132">
        <f>'YEAR 3'!B114</f>
        <v>296559.3916</v>
      </c>
      <c r="F114" s="132">
        <f>'YEAR 4'!B116</f>
        <v>299524.98551599996</v>
      </c>
      <c r="G114" s="132">
        <f>'YEAR 5'!B114</f>
        <v>302520.23537116</v>
      </c>
    </row>
    <row r="115" spans="1:7" ht="12">
      <c r="A115" s="62" t="s">
        <v>154</v>
      </c>
      <c r="B115" s="132">
        <f>'Combined '!B92</f>
        <v>34000</v>
      </c>
      <c r="C115" s="132">
        <f>'YEAR 1'!B115</f>
        <v>47500</v>
      </c>
      <c r="D115" s="132">
        <f>'YEAR 2'!B115</f>
        <v>49389.33278418452</v>
      </c>
      <c r="E115" s="132">
        <f>'YEAR 3'!B115</f>
        <v>51311.702224052715</v>
      </c>
      <c r="F115" s="132">
        <f>'YEAR 4'!B117</f>
        <v>53267.58011943987</v>
      </c>
      <c r="G115" s="132">
        <f>'YEAR 5'!B115</f>
        <v>55257.44440251235</v>
      </c>
    </row>
    <row r="116" spans="1:7" ht="12">
      <c r="A116" s="62" t="s">
        <v>34</v>
      </c>
      <c r="B116" s="132">
        <f>'Combined '!B93</f>
        <v>185500</v>
      </c>
      <c r="C116" s="132">
        <f>'YEAR 1'!B116</f>
        <v>185500</v>
      </c>
      <c r="D116" s="132">
        <f>'YEAR 2'!B116</f>
        <v>192159.5716639209</v>
      </c>
      <c r="E116" s="132">
        <f>'YEAR 3'!B116</f>
        <v>198933.78476112025</v>
      </c>
      <c r="F116" s="132">
        <f>'YEAR 4'!B118</f>
        <v>205824.2661630972</v>
      </c>
      <c r="G116" s="132">
        <f>'YEAR 5'!B116</f>
        <v>212832.66381463755</v>
      </c>
    </row>
    <row r="117" spans="1:7" ht="12">
      <c r="A117" s="126" t="s">
        <v>103</v>
      </c>
      <c r="B117" s="132">
        <f>'Combined '!B94</f>
        <v>38000</v>
      </c>
      <c r="C117" s="132">
        <f>'YEAR 1'!B117</f>
        <v>38000</v>
      </c>
      <c r="D117" s="132">
        <f>'YEAR 2'!B117</f>
        <v>38837.57825370676</v>
      </c>
      <c r="E117" s="132">
        <f>'YEAR 3'!B117</f>
        <v>39688.108072487645</v>
      </c>
      <c r="F117" s="132">
        <f>'YEAR 4'!B119</f>
        <v>40551.76472981878</v>
      </c>
      <c r="G117" s="132">
        <f>'YEAR 5'!B117</f>
        <v>41428.72570948929</v>
      </c>
    </row>
    <row r="118" spans="1:7" ht="12">
      <c r="A118" s="61" t="s">
        <v>35</v>
      </c>
      <c r="B118" s="132">
        <f>'Combined '!B95</f>
        <v>21000</v>
      </c>
      <c r="C118" s="132">
        <f>'YEAR 1'!B118</f>
        <v>21000</v>
      </c>
      <c r="D118" s="132">
        <f>'YEAR 2'!B118</f>
        <v>21646.77924217463</v>
      </c>
      <c r="E118" s="132">
        <f>'YEAR 3'!B118</f>
        <v>22304.394069192753</v>
      </c>
      <c r="F118" s="132">
        <f>'YEAR 4'!B120</f>
        <v>22972.99651482702</v>
      </c>
      <c r="G118" s="132">
        <f>'YEAR 5'!B118</f>
        <v>23652.740569967053</v>
      </c>
    </row>
    <row r="119" spans="1:7" s="47" customFormat="1" ht="12">
      <c r="A119" s="61" t="s">
        <v>36</v>
      </c>
      <c r="B119" s="132">
        <f>'Combined '!B96</f>
        <v>112501.5</v>
      </c>
      <c r="C119" s="132">
        <f>'YEAR 1'!B119</f>
        <v>112501.5</v>
      </c>
      <c r="D119" s="132">
        <f>'YEAR 2'!B119</f>
        <v>116746.36672981878</v>
      </c>
      <c r="E119" s="132">
        <f>'YEAR 3'!B119</f>
        <v>121064.88064423396</v>
      </c>
      <c r="F119" s="132">
        <f>'YEAR 4'!B121</f>
        <v>125458.09020026444</v>
      </c>
      <c r="G119" s="132">
        <f>'YEAR 5'!B119</f>
        <v>129927.0574593511</v>
      </c>
    </row>
    <row r="120" spans="1:7" ht="12">
      <c r="A120" s="126" t="s">
        <v>25</v>
      </c>
      <c r="B120" s="132">
        <f>'Combined '!B97</f>
        <v>58500</v>
      </c>
      <c r="C120" s="132">
        <f>'YEAR 1'!B120</f>
        <v>58500</v>
      </c>
      <c r="D120" s="132">
        <f>'YEAR 2'!B120</f>
        <v>60208.14662273476</v>
      </c>
      <c r="E120" s="132">
        <f>'YEAR 3'!B120</f>
        <v>61944.606177924215</v>
      </c>
      <c r="F120" s="132">
        <f>'YEAR 4'!B122</f>
        <v>63709.77410955519</v>
      </c>
      <c r="G120" s="132">
        <f>'YEAR 5'!B120</f>
        <v>65504.05093920099</v>
      </c>
    </row>
    <row r="121" spans="1:7" ht="12">
      <c r="A121" s="126" t="s">
        <v>29</v>
      </c>
      <c r="B121" s="132">
        <f>'Combined '!B98</f>
        <v>44640</v>
      </c>
      <c r="C121" s="132">
        <f>'YEAR 1'!B121</f>
        <v>44640</v>
      </c>
      <c r="D121" s="132">
        <f>'YEAR 2'!B121</f>
        <v>46028.387232289955</v>
      </c>
      <c r="E121" s="132">
        <f>'YEAR 3'!B121</f>
        <v>47440.0782092257</v>
      </c>
      <c r="F121" s="132">
        <f>'YEAR 4'!B123</f>
        <v>48875.40016697694</v>
      </c>
      <c r="G121" s="132">
        <f>'YEAR 5'!B121</f>
        <v>50334.684556062275</v>
      </c>
    </row>
    <row r="122" spans="1:7" ht="12">
      <c r="A122" s="126" t="s">
        <v>155</v>
      </c>
      <c r="B122" s="132">
        <f>'Combined '!B63</f>
        <v>1262991</v>
      </c>
      <c r="C122" s="132">
        <f>'YEAR 1'!B122</f>
        <v>1262991</v>
      </c>
      <c r="D122" s="132">
        <f>'YEAR 2'!B122</f>
        <v>1191869.3435585422</v>
      </c>
      <c r="E122" s="132">
        <f>'YEAR 3'!B122</f>
        <v>1191869.3435585422</v>
      </c>
      <c r="F122" s="132">
        <f>'YEAR 4'!B124</f>
        <v>1191869.3435585422</v>
      </c>
      <c r="G122" s="132">
        <f>'YEAR 5'!B122</f>
        <v>1191869.3435585422</v>
      </c>
    </row>
    <row r="123" spans="1:7" ht="12">
      <c r="A123" s="126" t="s">
        <v>276</v>
      </c>
      <c r="B123" s="132">
        <f>'Combined '!B62+'Combined '!B64</f>
        <v>282397</v>
      </c>
      <c r="C123" s="132">
        <f>'YEAR 1'!B123</f>
        <v>282397</v>
      </c>
      <c r="D123" s="132">
        <f>'YEAR 2'!B123</f>
        <v>282397</v>
      </c>
      <c r="E123" s="132">
        <f>'YEAR 3'!B123</f>
        <v>282397</v>
      </c>
      <c r="F123" s="132">
        <f>'YEAR 4'!B125</f>
        <v>282397</v>
      </c>
      <c r="G123" s="132">
        <f>'YEAR 5'!B123</f>
        <v>282397</v>
      </c>
    </row>
    <row r="124" spans="1:7" ht="12">
      <c r="A124" s="126" t="s">
        <v>275</v>
      </c>
      <c r="B124" s="132">
        <f>'Combined '!B100</f>
        <v>80000</v>
      </c>
      <c r="C124" s="132">
        <f>'YEAR 1'!B124</f>
        <v>80000</v>
      </c>
      <c r="D124" s="132">
        <f>'YEAR 2'!B124</f>
        <v>82671.91103789126</v>
      </c>
      <c r="E124" s="132">
        <f>'YEAR 3'!B124</f>
        <v>85389.26029654036</v>
      </c>
      <c r="F124" s="132">
        <f>'YEAR 4'!B126</f>
        <v>88152.68934925865</v>
      </c>
      <c r="G124" s="132">
        <f>'YEAR 5'!B124</f>
        <v>90962.84805700165</v>
      </c>
    </row>
    <row r="125" spans="1:7" ht="12">
      <c r="A125" s="126" t="s">
        <v>277</v>
      </c>
      <c r="B125" s="132">
        <f>'Combined '!B99</f>
        <v>16000</v>
      </c>
      <c r="C125" s="132">
        <f>'YEAR 1'!B125</f>
        <v>16000</v>
      </c>
      <c r="D125" s="132">
        <f>'YEAR 2'!B125</f>
        <v>16160</v>
      </c>
      <c r="E125" s="132">
        <f>'YEAR 3'!B125</f>
        <v>16321.6</v>
      </c>
      <c r="F125" s="132">
        <f>'YEAR 4'!B127</f>
        <v>16484.816</v>
      </c>
      <c r="G125" s="132">
        <f>'YEAR 5'!B125</f>
        <v>16649.66416</v>
      </c>
    </row>
    <row r="126" spans="1:7" ht="12">
      <c r="A126" s="126" t="s">
        <v>47</v>
      </c>
      <c r="B126" s="132">
        <f>'YEAR 0 - Budget and Cash Flow'!J105+'YEAR 0 - Budget and Cash Flow'!R105</f>
        <v>0</v>
      </c>
      <c r="C126" s="132">
        <f>'YEAR 1'!B126</f>
        <v>0</v>
      </c>
      <c r="D126" s="132">
        <f>'YEAR 2'!B126</f>
        <v>0</v>
      </c>
      <c r="E126" s="132">
        <f>'YEAR 3'!B126</f>
        <v>0</v>
      </c>
      <c r="F126" s="132">
        <v>0</v>
      </c>
      <c r="G126" s="132">
        <f>'YEAR 5'!B126</f>
        <v>0</v>
      </c>
    </row>
    <row r="127" spans="1:7" ht="12">
      <c r="A127" s="125" t="s">
        <v>37</v>
      </c>
      <c r="B127" s="132">
        <f>SUM(B114:B126)</f>
        <v>2426245.5</v>
      </c>
      <c r="C127" s="132">
        <f>'YEAR 1'!B127</f>
        <v>2439745.5</v>
      </c>
      <c r="D127" s="132">
        <f>'YEAR 2'!B127</f>
        <v>2391737.5771252634</v>
      </c>
      <c r="E127" s="132">
        <f>'YEAR 3'!B127</f>
        <v>2415224.14961332</v>
      </c>
      <c r="F127" s="132">
        <f>'YEAR 4'!B128</f>
        <v>2439088.7064277804</v>
      </c>
      <c r="G127" s="132">
        <f>SUM(G114:G126)</f>
        <v>2463336.4585979246</v>
      </c>
    </row>
    <row r="128" spans="1:7" ht="12">
      <c r="A128" s="62"/>
      <c r="B128" s="136"/>
      <c r="C128" s="136"/>
      <c r="D128" s="136"/>
      <c r="E128" s="136"/>
      <c r="F128" s="136"/>
      <c r="G128" s="136"/>
    </row>
    <row r="129" spans="1:7" ht="12">
      <c r="A129" s="124" t="s">
        <v>83</v>
      </c>
      <c r="B129" s="136"/>
      <c r="C129" s="136"/>
      <c r="D129" s="136"/>
      <c r="E129" s="136"/>
      <c r="F129" s="136"/>
      <c r="G129" s="136"/>
    </row>
    <row r="130" spans="1:7" ht="12">
      <c r="A130" s="126" t="s">
        <v>85</v>
      </c>
      <c r="B130" s="132">
        <f>'Combined '!B103</f>
        <v>0</v>
      </c>
      <c r="C130" s="132">
        <f>'YEAR 1'!B130</f>
        <v>0</v>
      </c>
      <c r="D130" s="132">
        <f>'YEAR 2'!B130</f>
        <v>0</v>
      </c>
      <c r="E130" s="132">
        <f>'YEAR 3'!B129</f>
        <v>0</v>
      </c>
      <c r="F130" s="132">
        <f>'YEAR 4'!B131</f>
        <v>0</v>
      </c>
      <c r="G130" s="132">
        <f>'YEAR 5'!B130</f>
        <v>0</v>
      </c>
    </row>
    <row r="131" spans="1:7" ht="12">
      <c r="A131" s="126" t="s">
        <v>111</v>
      </c>
      <c r="B131" s="132">
        <f>'Combined '!B104</f>
        <v>188770</v>
      </c>
      <c r="C131" s="132">
        <f>'YEAR 1'!B131</f>
        <v>86188.79999999999</v>
      </c>
      <c r="D131" s="132">
        <f>'YEAR 2'!B131</f>
        <v>87963.69291598022</v>
      </c>
      <c r="E131" s="132">
        <f>'YEAR 3'!B131</f>
        <v>89738.58583196046</v>
      </c>
      <c r="F131" s="132">
        <f>'YEAR 4'!B133</f>
        <v>91513.47874794068</v>
      </c>
      <c r="G131" s="132">
        <f>'YEAR 5'!B131</f>
        <v>93288.37166392092</v>
      </c>
    </row>
    <row r="132" spans="1:7" ht="12">
      <c r="A132" s="126" t="s">
        <v>84</v>
      </c>
      <c r="B132" s="132">
        <f>'Combined '!B105</f>
        <v>500000</v>
      </c>
      <c r="C132" s="132">
        <f>'YEAR 1'!B132</f>
        <v>500000</v>
      </c>
      <c r="D132" s="132">
        <f>'YEAR 2'!B132</f>
        <v>500000</v>
      </c>
      <c r="E132" s="132">
        <f>'YEAR 3'!B132</f>
        <v>500000</v>
      </c>
      <c r="F132" s="132">
        <f>'YEAR 4'!B134</f>
        <v>500000</v>
      </c>
      <c r="G132" s="132">
        <f>'YEAR 5'!B132</f>
        <v>500000</v>
      </c>
    </row>
    <row r="133" spans="1:7" ht="24">
      <c r="A133" s="61" t="s">
        <v>169</v>
      </c>
      <c r="B133" s="132">
        <f>'YEAR 0 - Budget and Cash Flow'!J112+'YEAR 0 - Budget and Cash Flow'!R112</f>
        <v>0</v>
      </c>
      <c r="C133" s="132">
        <f>'YEAR 1'!B133</f>
        <v>0</v>
      </c>
      <c r="D133" s="132">
        <f>'YEAR 2'!B133</f>
        <v>0</v>
      </c>
      <c r="E133" s="132">
        <f>'YEAR 3'!B133</f>
        <v>0</v>
      </c>
      <c r="F133" s="132">
        <f>'YEAR 4'!B135</f>
        <v>0</v>
      </c>
      <c r="G133" s="132">
        <f>'YEAR 5'!B133</f>
        <v>0</v>
      </c>
    </row>
    <row r="134" spans="1:7" ht="12">
      <c r="A134" s="126" t="s">
        <v>168</v>
      </c>
      <c r="B134" s="132">
        <f>'YEAR 0 - Budget and Cash Flow'!J113+'YEAR 0 - Budget and Cash Flow'!R113</f>
        <v>0</v>
      </c>
      <c r="C134" s="132">
        <f>'YEAR 1'!B134</f>
        <v>0</v>
      </c>
      <c r="D134" s="132">
        <f>'YEAR 2'!B134</f>
        <v>0</v>
      </c>
      <c r="E134" s="132">
        <f>'YEAR 3'!B133</f>
        <v>0</v>
      </c>
      <c r="F134" s="132">
        <f>'YEAR 4'!B135</f>
        <v>0</v>
      </c>
      <c r="G134" s="132">
        <f>'YEAR 5'!B135</f>
        <v>0</v>
      </c>
    </row>
    <row r="135" spans="1:7" ht="12">
      <c r="A135" s="126" t="s">
        <v>47</v>
      </c>
      <c r="B135" s="132">
        <f>'YEAR 0 - Budget and Cash Flow'!J114+'YEAR 0 - Budget and Cash Flow'!R114</f>
        <v>0</v>
      </c>
      <c r="C135" s="132">
        <f>'YEAR 1'!B135</f>
        <v>0</v>
      </c>
      <c r="D135" s="132">
        <f>'YEAR 2'!B135</f>
        <v>0</v>
      </c>
      <c r="E135" s="132">
        <f>'YEAR 3'!B134</f>
        <v>0</v>
      </c>
      <c r="F135" s="132">
        <f>'YEAR 4'!B136</f>
        <v>0</v>
      </c>
      <c r="G135" s="132">
        <f>'YEAR 5'!B136</f>
        <v>0</v>
      </c>
    </row>
    <row r="136" spans="1:7" ht="12">
      <c r="A136" s="126" t="s">
        <v>47</v>
      </c>
      <c r="B136" s="132">
        <f>'YEAR 0 - Budget and Cash Flow'!J115+'YEAR 0 - Budget and Cash Flow'!R115</f>
        <v>0</v>
      </c>
      <c r="C136" s="132">
        <f>'YEAR 1'!B136</f>
        <v>0</v>
      </c>
      <c r="D136" s="132">
        <f>'YEAR 2'!B136</f>
        <v>0</v>
      </c>
      <c r="E136" s="132">
        <f>'YEAR 3'!B135</f>
        <v>0</v>
      </c>
      <c r="F136" s="132">
        <f>'YEAR 4'!B137</f>
        <v>0</v>
      </c>
      <c r="G136" s="132">
        <f>'YEAR 5'!B138</f>
        <v>0</v>
      </c>
    </row>
    <row r="137" spans="1:7" ht="12">
      <c r="A137" s="125" t="s">
        <v>38</v>
      </c>
      <c r="B137" s="132">
        <f>SUM(B130:B136)</f>
        <v>688770</v>
      </c>
      <c r="C137" s="132">
        <f>'YEAR 1'!B137</f>
        <v>586188.8</v>
      </c>
      <c r="D137" s="132">
        <f>'YEAR 2'!B137</f>
        <v>587963.6929159802</v>
      </c>
      <c r="E137" s="132">
        <f>SUM(E130:E136)</f>
        <v>589738.5858319604</v>
      </c>
      <c r="F137" s="132">
        <f>SUM(F130:F136)</f>
        <v>591513.4787479406</v>
      </c>
      <c r="G137" s="132">
        <f>SUM(G130:G136)</f>
        <v>593288.3716639209</v>
      </c>
    </row>
    <row r="138" spans="1:7" ht="12">
      <c r="A138" s="125"/>
      <c r="B138" s="136"/>
      <c r="C138" s="136"/>
      <c r="D138" s="136"/>
      <c r="E138" s="136"/>
      <c r="F138" s="136"/>
      <c r="G138" s="136"/>
    </row>
    <row r="139" spans="1:7" ht="12">
      <c r="A139" s="125" t="s">
        <v>39</v>
      </c>
      <c r="B139" s="132">
        <f aca="true" t="shared" si="1" ref="B139:G139">B137+B127+B111+B88+B77+B65+B48</f>
        <v>12539427.754643038</v>
      </c>
      <c r="C139" s="132">
        <f t="shared" si="1"/>
        <v>12537721.892254356</v>
      </c>
      <c r="D139" s="132">
        <f t="shared" si="1"/>
        <v>12784100.199960824</v>
      </c>
      <c r="E139" s="132">
        <f t="shared" si="1"/>
        <v>13016701.984760247</v>
      </c>
      <c r="F139" s="132">
        <f t="shared" si="1"/>
        <v>13263348.120380988</v>
      </c>
      <c r="G139" s="132">
        <f t="shared" si="1"/>
        <v>13503191.411150288</v>
      </c>
    </row>
    <row r="140" spans="1:7" ht="12">
      <c r="A140" s="125"/>
      <c r="B140" s="136">
        <f>'Combined '!B108-B139</f>
        <v>0</v>
      </c>
      <c r="C140" s="136"/>
      <c r="D140" s="136"/>
      <c r="E140" s="136"/>
      <c r="F140" s="136"/>
      <c r="G140" s="136">
        <f>'YEAR 5'!B139-G139</f>
        <v>0</v>
      </c>
    </row>
    <row r="141" spans="1:7" ht="12">
      <c r="A141" s="125" t="s">
        <v>87</v>
      </c>
      <c r="B141" s="132">
        <f aca="true" t="shared" si="2" ref="B141:G141">B35-B139</f>
        <v>29976.245356962085</v>
      </c>
      <c r="C141" s="132">
        <f t="shared" si="2"/>
        <v>31682.107745643705</v>
      </c>
      <c r="D141" s="132">
        <f t="shared" si="2"/>
        <v>34809.36017096974</v>
      </c>
      <c r="E141" s="132">
        <f t="shared" si="2"/>
        <v>51713.13550334424</v>
      </c>
      <c r="F141" s="132">
        <f t="shared" si="2"/>
        <v>54572.56001440063</v>
      </c>
      <c r="G141" s="132">
        <f t="shared" si="2"/>
        <v>64234.82937689498</v>
      </c>
    </row>
    <row r="142" spans="1:7" ht="12">
      <c r="A142" s="125"/>
      <c r="B142" s="136"/>
      <c r="C142" s="136"/>
      <c r="D142" s="136"/>
      <c r="E142" s="136"/>
      <c r="F142" s="136"/>
      <c r="G142" s="136"/>
    </row>
    <row r="143" spans="1:7" ht="12">
      <c r="A143" s="131" t="s">
        <v>88</v>
      </c>
      <c r="B143" s="136">
        <f>B141</f>
        <v>29976.245356962085</v>
      </c>
      <c r="C143" s="136">
        <f>B143+C141</f>
        <v>61658.35310260579</v>
      </c>
      <c r="D143" s="136">
        <f>C143+D141</f>
        <v>96467.71327357553</v>
      </c>
      <c r="E143" s="136">
        <f>D143+E141</f>
        <v>148180.84877691977</v>
      </c>
      <c r="F143" s="136">
        <f>E143+F141</f>
        <v>202753.4087913204</v>
      </c>
      <c r="G143" s="136">
        <f>F143+G141</f>
        <v>266988.2381682154</v>
      </c>
    </row>
    <row r="144" spans="2:7" ht="12">
      <c r="B144" s="283">
        <f>B141-'Combined '!B110</f>
        <v>0</v>
      </c>
      <c r="C144" s="283">
        <f>C141-'Combined '!C110</f>
        <v>1.862645149230957E-09</v>
      </c>
      <c r="D144" s="283">
        <f>D141-'Combined '!D110</f>
        <v>-1.862645149230957E-09</v>
      </c>
      <c r="E144" s="283">
        <f>E141-'Combined '!E110</f>
        <v>-1.862645149230957E-09</v>
      </c>
      <c r="F144" s="283">
        <f>F141-'Combined '!F110</f>
        <v>-1.862645149230957E-09</v>
      </c>
      <c r="G144" s="283">
        <f>G141-'Combined '!G110</f>
        <v>0</v>
      </c>
    </row>
  </sheetData>
  <sheetProtection/>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sheetPr>
    <tabColor theme="3"/>
  </sheetPr>
  <dimension ref="A1:F143"/>
  <sheetViews>
    <sheetView workbookViewId="0" topLeftCell="A1">
      <selection activeCell="A1" sqref="A1"/>
    </sheetView>
  </sheetViews>
  <sheetFormatPr defaultColWidth="11.57421875" defaultRowHeight="15"/>
  <cols>
    <col min="1" max="1" width="45.28125" style="48" bestFit="1" customWidth="1"/>
    <col min="2" max="2" width="12.421875" style="119" customWidth="1"/>
    <col min="3" max="3" width="12.421875" style="206" customWidth="1"/>
    <col min="4" max="4" width="49.140625" style="93" customWidth="1"/>
    <col min="5" max="5" width="8.140625" style="48" bestFit="1" customWidth="1"/>
    <col min="6" max="6" width="32.8515625" style="49" bestFit="1" customWidth="1"/>
    <col min="7" max="16384" width="11.421875" style="48" customWidth="1"/>
  </cols>
  <sheetData>
    <row r="1" spans="1:2" ht="12">
      <c r="A1" s="120" t="s">
        <v>172</v>
      </c>
      <c r="B1" s="207">
        <f>'Combined '!C2</f>
        <v>1273</v>
      </c>
    </row>
    <row r="2" ht="12.75" thickBot="1"/>
    <row r="3" spans="1:4" ht="12">
      <c r="A3" s="298" t="s">
        <v>115</v>
      </c>
      <c r="B3" s="299"/>
      <c r="C3" s="299"/>
      <c r="D3" s="300"/>
    </row>
    <row r="4" spans="1:6" s="11" customFormat="1" ht="12">
      <c r="A4" s="10" t="s">
        <v>0</v>
      </c>
      <c r="B4" s="106" t="s">
        <v>1</v>
      </c>
      <c r="C4" s="208" t="s">
        <v>227</v>
      </c>
      <c r="D4" s="10" t="s">
        <v>89</v>
      </c>
      <c r="E4" s="22"/>
      <c r="F4" s="39"/>
    </row>
    <row r="5" spans="1:6" s="11" customFormat="1" ht="12">
      <c r="A5" s="122" t="s">
        <v>90</v>
      </c>
      <c r="B5" s="107"/>
      <c r="C5" s="209"/>
      <c r="D5" s="44"/>
      <c r="F5" s="40"/>
    </row>
    <row r="6" spans="1:6" s="45" customFormat="1" ht="12">
      <c r="A6" s="24" t="s">
        <v>93</v>
      </c>
      <c r="B6" s="108">
        <f>'Combined '!C6</f>
        <v>8618880</v>
      </c>
      <c r="C6" s="210">
        <f>B6/$B$1</f>
        <v>6770.526315789473</v>
      </c>
      <c r="D6" s="290" t="s">
        <v>282</v>
      </c>
      <c r="F6" s="46"/>
    </row>
    <row r="7" spans="1:5" ht="12">
      <c r="A7" s="23" t="s">
        <v>94</v>
      </c>
      <c r="B7" s="109"/>
      <c r="C7" s="210">
        <f aca="true" t="shared" si="0" ref="C7:C17">B7/$B$1</f>
        <v>0</v>
      </c>
      <c r="D7" s="41" t="s">
        <v>5</v>
      </c>
      <c r="E7" s="50"/>
    </row>
    <row r="8" spans="1:5" ht="12">
      <c r="A8" s="23" t="s">
        <v>74</v>
      </c>
      <c r="B8" s="109"/>
      <c r="C8" s="210">
        <f t="shared" si="0"/>
        <v>0</v>
      </c>
      <c r="D8" s="41"/>
      <c r="E8" s="50"/>
    </row>
    <row r="9" spans="1:5" ht="12">
      <c r="A9" s="23" t="s">
        <v>149</v>
      </c>
      <c r="B9" s="109"/>
      <c r="C9" s="210">
        <f t="shared" si="0"/>
        <v>0</v>
      </c>
      <c r="D9" s="41"/>
      <c r="E9" s="50"/>
    </row>
    <row r="10" spans="1:5" ht="12">
      <c r="A10" s="23" t="s">
        <v>95</v>
      </c>
      <c r="B10" s="109"/>
      <c r="C10" s="210">
        <f t="shared" si="0"/>
        <v>0</v>
      </c>
      <c r="D10" s="41"/>
      <c r="E10" s="50"/>
    </row>
    <row r="11" spans="1:5" ht="12">
      <c r="A11" s="23" t="s">
        <v>96</v>
      </c>
      <c r="B11" s="109"/>
      <c r="C11" s="210">
        <f t="shared" si="0"/>
        <v>0</v>
      </c>
      <c r="D11" s="41"/>
      <c r="E11" s="50"/>
    </row>
    <row r="12" spans="1:5" ht="12">
      <c r="A12" s="23" t="s">
        <v>97</v>
      </c>
      <c r="B12" s="109">
        <f>'Combined '!C12</f>
        <v>64966</v>
      </c>
      <c r="C12" s="210">
        <f t="shared" si="0"/>
        <v>51.03377847604085</v>
      </c>
      <c r="D12" s="290" t="s">
        <v>282</v>
      </c>
      <c r="E12" s="50"/>
    </row>
    <row r="13" spans="1:5" ht="12">
      <c r="A13" s="23" t="s">
        <v>98</v>
      </c>
      <c r="B13" s="109"/>
      <c r="C13" s="210">
        <f t="shared" si="0"/>
        <v>0</v>
      </c>
      <c r="D13" s="41"/>
      <c r="E13" s="50"/>
    </row>
    <row r="14" spans="1:5" ht="12">
      <c r="A14" s="23" t="s">
        <v>165</v>
      </c>
      <c r="B14" s="109">
        <f>'Combined '!B13</f>
        <v>633000</v>
      </c>
      <c r="C14" s="210">
        <f t="shared" si="0"/>
        <v>497.25058915946585</v>
      </c>
      <c r="D14" s="290" t="s">
        <v>282</v>
      </c>
      <c r="E14" s="50"/>
    </row>
    <row r="15" spans="1:5" ht="12">
      <c r="A15" s="23" t="s">
        <v>166</v>
      </c>
      <c r="B15" s="109"/>
      <c r="C15" s="210">
        <f t="shared" si="0"/>
        <v>0</v>
      </c>
      <c r="D15" s="95"/>
      <c r="E15" s="50"/>
    </row>
    <row r="16" spans="1:5" ht="12">
      <c r="A16" s="23" t="s">
        <v>104</v>
      </c>
      <c r="B16" s="109"/>
      <c r="C16" s="210">
        <f t="shared" si="0"/>
        <v>0</v>
      </c>
      <c r="D16" s="41"/>
      <c r="E16" s="50"/>
    </row>
    <row r="17" spans="1:5" ht="12">
      <c r="A17" s="23" t="s">
        <v>104</v>
      </c>
      <c r="B17" s="109"/>
      <c r="C17" s="210">
        <f t="shared" si="0"/>
        <v>0</v>
      </c>
      <c r="D17" s="41"/>
      <c r="E17" s="50"/>
    </row>
    <row r="18" spans="1:5" ht="12">
      <c r="A18" s="15" t="s">
        <v>42</v>
      </c>
      <c r="B18" s="110"/>
      <c r="C18" s="211"/>
      <c r="D18" s="73"/>
      <c r="E18" s="50"/>
    </row>
    <row r="19" spans="1:5" ht="12">
      <c r="A19" s="23" t="s">
        <v>112</v>
      </c>
      <c r="B19" s="111"/>
      <c r="C19" s="210">
        <f aca="true" t="shared" si="1" ref="C19:C35">B19/$B$1</f>
        <v>0</v>
      </c>
      <c r="D19" s="188"/>
      <c r="E19" s="143"/>
    </row>
    <row r="20" spans="1:5" ht="12">
      <c r="A20" s="23" t="s">
        <v>150</v>
      </c>
      <c r="B20" s="111">
        <f>'Combined '!C8</f>
        <v>307863</v>
      </c>
      <c r="C20" s="210">
        <f t="shared" si="1"/>
        <v>241.840534171249</v>
      </c>
      <c r="D20" s="290" t="s">
        <v>282</v>
      </c>
      <c r="E20" s="143"/>
    </row>
    <row r="21" spans="1:6" ht="12">
      <c r="A21" s="24" t="s">
        <v>2</v>
      </c>
      <c r="B21" s="109">
        <f>'Combined '!C9</f>
        <v>1614321</v>
      </c>
      <c r="C21" s="210">
        <f t="shared" si="1"/>
        <v>1268.1233307148468</v>
      </c>
      <c r="D21" s="290" t="s">
        <v>282</v>
      </c>
      <c r="E21" s="59"/>
      <c r="F21" s="74"/>
    </row>
    <row r="22" spans="1:5" ht="12">
      <c r="A22" s="24" t="s">
        <v>3</v>
      </c>
      <c r="B22" s="109">
        <f>'Combined '!C10</f>
        <v>388672</v>
      </c>
      <c r="C22" s="210">
        <f t="shared" si="1"/>
        <v>305.3197172034564</v>
      </c>
      <c r="D22" s="290" t="s">
        <v>282</v>
      </c>
      <c r="E22" s="59"/>
    </row>
    <row r="23" spans="1:5" ht="12">
      <c r="A23" s="23" t="s">
        <v>91</v>
      </c>
      <c r="B23" s="111">
        <f>'Combined '!C7*0.65</f>
        <v>447200</v>
      </c>
      <c r="C23" s="210">
        <f t="shared" si="1"/>
        <v>351.29615082482326</v>
      </c>
      <c r="D23" s="290" t="s">
        <v>282</v>
      </c>
      <c r="E23" s="59"/>
    </row>
    <row r="24" spans="1:5" ht="12">
      <c r="A24" s="23" t="s">
        <v>92</v>
      </c>
      <c r="B24" s="111">
        <f>'Combined '!C7*0.35</f>
        <v>240799.99999999997</v>
      </c>
      <c r="C24" s="210">
        <f t="shared" si="1"/>
        <v>189.15946582875097</v>
      </c>
      <c r="D24" s="290" t="s">
        <v>282</v>
      </c>
      <c r="E24" s="59"/>
    </row>
    <row r="25" spans="1:5" ht="12">
      <c r="A25" s="14" t="s">
        <v>41</v>
      </c>
      <c r="B25" s="109"/>
      <c r="C25" s="210">
        <f t="shared" si="1"/>
        <v>0</v>
      </c>
      <c r="D25" s="52"/>
      <c r="E25" s="59"/>
    </row>
    <row r="26" spans="1:5" ht="12">
      <c r="A26" s="14" t="s">
        <v>41</v>
      </c>
      <c r="B26" s="109"/>
      <c r="C26" s="210">
        <f t="shared" si="1"/>
        <v>0</v>
      </c>
      <c r="D26" s="52"/>
      <c r="E26" s="59"/>
    </row>
    <row r="27" spans="1:5" ht="12">
      <c r="A27" s="15" t="s">
        <v>43</v>
      </c>
      <c r="B27" s="110"/>
      <c r="C27" s="210">
        <f t="shared" si="1"/>
        <v>0</v>
      </c>
      <c r="D27" s="43"/>
      <c r="E27" s="50"/>
    </row>
    <row r="28" spans="1:5" ht="12">
      <c r="A28" s="24" t="s">
        <v>99</v>
      </c>
      <c r="B28" s="109"/>
      <c r="C28" s="210">
        <f t="shared" si="1"/>
        <v>0</v>
      </c>
      <c r="D28" s="41"/>
      <c r="E28" s="59"/>
    </row>
    <row r="29" spans="1:5" ht="12">
      <c r="A29" s="24" t="s">
        <v>100</v>
      </c>
      <c r="B29" s="109"/>
      <c r="C29" s="210">
        <f t="shared" si="1"/>
        <v>0</v>
      </c>
      <c r="D29" s="41"/>
      <c r="E29" s="59"/>
    </row>
    <row r="30" spans="1:5" ht="12">
      <c r="A30" s="24" t="s">
        <v>101</v>
      </c>
      <c r="B30" s="109"/>
      <c r="C30" s="210">
        <f t="shared" si="1"/>
        <v>0</v>
      </c>
      <c r="D30" s="41"/>
      <c r="E30" s="59"/>
    </row>
    <row r="31" spans="1:5" ht="12">
      <c r="A31" s="13" t="str">
        <f>'Combined '!A11</f>
        <v>Student/Activity &amp; Misc Fees</v>
      </c>
      <c r="B31" s="109">
        <f>'Combined '!C11</f>
        <v>253702</v>
      </c>
      <c r="C31" s="210">
        <f t="shared" si="1"/>
        <v>199.29457973291437</v>
      </c>
      <c r="D31" s="290" t="s">
        <v>282</v>
      </c>
      <c r="E31" s="59"/>
    </row>
    <row r="32" spans="1:5" ht="12">
      <c r="A32" s="13" t="s">
        <v>47</v>
      </c>
      <c r="B32" s="109"/>
      <c r="C32" s="210">
        <f t="shared" si="1"/>
        <v>0</v>
      </c>
      <c r="D32" s="41"/>
      <c r="E32" s="59"/>
    </row>
    <row r="33" spans="1:5" ht="12">
      <c r="A33" s="13" t="s">
        <v>47</v>
      </c>
      <c r="B33" s="109"/>
      <c r="C33" s="210">
        <f t="shared" si="1"/>
        <v>0</v>
      </c>
      <c r="D33" s="41"/>
      <c r="E33" s="59"/>
    </row>
    <row r="34" spans="1:5" ht="12">
      <c r="A34" s="13" t="s">
        <v>47</v>
      </c>
      <c r="B34" s="109"/>
      <c r="C34" s="210">
        <f t="shared" si="1"/>
        <v>0</v>
      </c>
      <c r="D34" s="41"/>
      <c r="E34" s="59"/>
    </row>
    <row r="35" spans="1:5" ht="12">
      <c r="A35" s="20" t="s">
        <v>4</v>
      </c>
      <c r="B35" s="110">
        <f>SUM(B6:B34)</f>
        <v>12569404</v>
      </c>
      <c r="C35" s="210">
        <f t="shared" si="1"/>
        <v>9873.84446190102</v>
      </c>
      <c r="D35" s="43"/>
      <c r="E35" s="59"/>
    </row>
    <row r="36" spans="1:6" s="47" customFormat="1" ht="12">
      <c r="A36" s="16"/>
      <c r="B36" s="111">
        <f>B35-'Combined '!C14</f>
        <v>0</v>
      </c>
      <c r="C36" s="164"/>
      <c r="D36" s="75"/>
      <c r="E36" s="76"/>
      <c r="F36" s="77"/>
    </row>
    <row r="37" spans="1:5" ht="12">
      <c r="A37" s="10" t="s">
        <v>56</v>
      </c>
      <c r="B37" s="110"/>
      <c r="C37" s="211"/>
      <c r="D37" s="43"/>
      <c r="E37" s="59"/>
    </row>
    <row r="38" spans="1:5" ht="12">
      <c r="A38" s="12" t="s">
        <v>77</v>
      </c>
      <c r="B38" s="110"/>
      <c r="C38" s="211"/>
      <c r="D38" s="282" t="s">
        <v>283</v>
      </c>
      <c r="E38" s="59"/>
    </row>
    <row r="39" spans="1:5" ht="12">
      <c r="A39" s="63" t="s">
        <v>73</v>
      </c>
      <c r="B39" s="110">
        <f>'Staffing Year 1'!F47</f>
        <v>7431588.000203785</v>
      </c>
      <c r="C39" s="210">
        <f aca="true" t="shared" si="2" ref="C39:C48">B39/$B$1</f>
        <v>5837.853888612557</v>
      </c>
      <c r="D39" s="282" t="s">
        <v>278</v>
      </c>
      <c r="E39" s="59"/>
    </row>
    <row r="40" spans="1:5" ht="12">
      <c r="A40" s="96" t="s">
        <v>151</v>
      </c>
      <c r="B40" s="111">
        <f>'TBLA Expense'!C62+'TBLA Expense'!J62</f>
        <v>176087.5304642545</v>
      </c>
      <c r="C40" s="210">
        <f t="shared" si="2"/>
        <v>138.32484718323212</v>
      </c>
      <c r="D40" s="41" t="s">
        <v>5</v>
      </c>
      <c r="E40" s="59"/>
    </row>
    <row r="41" spans="1:5" ht="12">
      <c r="A41" s="14" t="s">
        <v>74</v>
      </c>
      <c r="B41" s="111">
        <f>'TBLA Expense'!C63+'TBLA Expense'!J63</f>
        <v>58355.28</v>
      </c>
      <c r="C41" s="210">
        <f t="shared" si="2"/>
        <v>45.84075412411626</v>
      </c>
      <c r="D41" s="41"/>
      <c r="E41" s="78"/>
    </row>
    <row r="42" spans="1:5" ht="12">
      <c r="A42" s="14" t="s">
        <v>75</v>
      </c>
      <c r="B42" s="111"/>
      <c r="C42" s="210">
        <f t="shared" si="2"/>
        <v>0</v>
      </c>
      <c r="D42" s="41"/>
      <c r="E42" s="78"/>
    </row>
    <row r="43" spans="1:5" ht="12">
      <c r="A43" s="7" t="s">
        <v>47</v>
      </c>
      <c r="B43" s="111"/>
      <c r="C43" s="210">
        <f t="shared" si="2"/>
        <v>0</v>
      </c>
      <c r="D43" s="41"/>
      <c r="E43" s="78"/>
    </row>
    <row r="44" spans="1:5" ht="12">
      <c r="A44" s="7" t="s">
        <v>47</v>
      </c>
      <c r="B44" s="111"/>
      <c r="C44" s="210">
        <f t="shared" si="2"/>
        <v>0</v>
      </c>
      <c r="D44" s="41"/>
      <c r="E44" s="78"/>
    </row>
    <row r="45" spans="1:5" ht="12">
      <c r="A45" s="7" t="s">
        <v>47</v>
      </c>
      <c r="B45" s="111"/>
      <c r="C45" s="210">
        <f t="shared" si="2"/>
        <v>0</v>
      </c>
      <c r="D45" s="41"/>
      <c r="E45" s="78"/>
    </row>
    <row r="46" spans="1:5" ht="12">
      <c r="A46" s="7" t="s">
        <v>47</v>
      </c>
      <c r="B46" s="111"/>
      <c r="C46" s="210">
        <f t="shared" si="2"/>
        <v>0</v>
      </c>
      <c r="D46" s="41"/>
      <c r="E46" s="78"/>
    </row>
    <row r="47" spans="1:5" ht="12">
      <c r="A47" s="7" t="s">
        <v>47</v>
      </c>
      <c r="B47" s="111"/>
      <c r="C47" s="210">
        <f t="shared" si="2"/>
        <v>0</v>
      </c>
      <c r="D47" s="41"/>
      <c r="E47" s="78"/>
    </row>
    <row r="48" spans="1:6" s="45" customFormat="1" ht="12">
      <c r="A48" s="20" t="s">
        <v>76</v>
      </c>
      <c r="B48" s="110">
        <f>SUM(B39:B47)</f>
        <v>7666030.810668039</v>
      </c>
      <c r="C48" s="110">
        <f t="shared" si="2"/>
        <v>6022.019489919905</v>
      </c>
      <c r="D48" s="43"/>
      <c r="E48" s="83"/>
      <c r="F48" s="84"/>
    </row>
    <row r="49" spans="1:6" s="87" customFormat="1" ht="12">
      <c r="A49" s="63"/>
      <c r="B49" s="110"/>
      <c r="C49" s="211"/>
      <c r="D49" s="43"/>
      <c r="E49" s="85"/>
      <c r="F49" s="86"/>
    </row>
    <row r="50" spans="1:5" ht="12">
      <c r="A50" s="15" t="s">
        <v>78</v>
      </c>
      <c r="B50" s="110"/>
      <c r="C50" s="211"/>
      <c r="D50" s="282" t="s">
        <v>284</v>
      </c>
      <c r="E50" s="50"/>
    </row>
    <row r="51" spans="1:6" s="47" customFormat="1" ht="12">
      <c r="A51" s="79" t="s">
        <v>6</v>
      </c>
      <c r="B51" s="111">
        <f>'TBLA Expense'!C66+'TBLA Expense'!J66</f>
        <v>44000</v>
      </c>
      <c r="C51" s="210">
        <f aca="true" t="shared" si="3" ref="C51:C114">B51/$B$1</f>
        <v>34.56402199528672</v>
      </c>
      <c r="D51" s="41"/>
      <c r="E51" s="80"/>
      <c r="F51" s="77"/>
    </row>
    <row r="52" spans="1:6" s="47" customFormat="1" ht="12">
      <c r="A52" s="79" t="s">
        <v>7</v>
      </c>
      <c r="B52" s="111">
        <f>'TBLA Expense'!C67+'TBLA Expense'!J67</f>
        <v>3000</v>
      </c>
      <c r="C52" s="210">
        <f t="shared" si="3"/>
        <v>2.356637863315004</v>
      </c>
      <c r="D52" s="41" t="s">
        <v>5</v>
      </c>
      <c r="E52" s="80"/>
      <c r="F52" s="77"/>
    </row>
    <row r="53" spans="1:6" s="47" customFormat="1" ht="12">
      <c r="A53" s="79" t="s">
        <v>8</v>
      </c>
      <c r="B53" s="111">
        <f>'TBLA Expense'!C68+'TBLA Expense'!J68</f>
        <v>0</v>
      </c>
      <c r="C53" s="210">
        <f t="shared" si="3"/>
        <v>0</v>
      </c>
      <c r="D53" s="41"/>
      <c r="E53" s="80"/>
      <c r="F53" s="77"/>
    </row>
    <row r="54" spans="1:5" ht="12">
      <c r="A54" s="19" t="s">
        <v>9</v>
      </c>
      <c r="B54" s="111">
        <f>'TBLA Expense'!C69+'TBLA Expense'!J69</f>
        <v>16481.711631448732</v>
      </c>
      <c r="C54" s="210">
        <f t="shared" si="3"/>
        <v>12.947141894303796</v>
      </c>
      <c r="D54" s="41"/>
      <c r="E54" s="59"/>
    </row>
    <row r="55" spans="1:5" ht="12">
      <c r="A55" s="19" t="s">
        <v>10</v>
      </c>
      <c r="B55" s="111">
        <f>'TBLA Expense'!C70+'TBLA Expense'!J70</f>
        <v>0</v>
      </c>
      <c r="C55" s="210">
        <f t="shared" si="3"/>
        <v>0</v>
      </c>
      <c r="D55" s="81"/>
      <c r="E55" s="59"/>
    </row>
    <row r="56" spans="1:5" ht="12">
      <c r="A56" s="19" t="s">
        <v>11</v>
      </c>
      <c r="B56" s="111">
        <f>'TBLA Expense'!C71+'TBLA Expense'!J71</f>
        <v>35000</v>
      </c>
      <c r="C56" s="210">
        <f t="shared" si="3"/>
        <v>27.494108405341713</v>
      </c>
      <c r="D56" s="41"/>
      <c r="E56" s="59"/>
    </row>
    <row r="57" spans="1:5" ht="12">
      <c r="A57" s="19" t="s">
        <v>44</v>
      </c>
      <c r="B57" s="111">
        <f>'TBLA Expense'!C72+'TBLA Expense'!J72</f>
        <v>107947</v>
      </c>
      <c r="C57" s="210">
        <f t="shared" si="3"/>
        <v>84.79732914375491</v>
      </c>
      <c r="D57" s="41"/>
      <c r="E57" s="59"/>
    </row>
    <row r="58" spans="1:5" ht="12">
      <c r="A58" s="82" t="s">
        <v>12</v>
      </c>
      <c r="B58" s="111">
        <f>'TBLA Expense'!C73+'TBLA Expense'!J73</f>
        <v>20000</v>
      </c>
      <c r="C58" s="210">
        <f t="shared" si="3"/>
        <v>15.710919088766692</v>
      </c>
      <c r="D58" s="41"/>
      <c r="E58" s="78"/>
    </row>
    <row r="59" spans="1:5" ht="12">
      <c r="A59" s="14" t="s">
        <v>66</v>
      </c>
      <c r="B59" s="111">
        <f>'TBLA Expense'!C74+'TBLA Expense'!J74</f>
        <v>111000</v>
      </c>
      <c r="C59" s="210">
        <f t="shared" si="3"/>
        <v>87.19560094265515</v>
      </c>
      <c r="D59" s="41" t="s">
        <v>5</v>
      </c>
      <c r="E59" s="78"/>
    </row>
    <row r="60" spans="1:5" ht="12">
      <c r="A60" s="7" t="s">
        <v>47</v>
      </c>
      <c r="B60" s="111"/>
      <c r="C60" s="210">
        <f t="shared" si="3"/>
        <v>0</v>
      </c>
      <c r="D60" s="41"/>
      <c r="E60" s="59"/>
    </row>
    <row r="61" spans="1:5" ht="12">
      <c r="A61" s="7" t="s">
        <v>47</v>
      </c>
      <c r="B61" s="111"/>
      <c r="C61" s="210">
        <f t="shared" si="3"/>
        <v>0</v>
      </c>
      <c r="D61" s="41"/>
      <c r="E61" s="59"/>
    </row>
    <row r="62" spans="1:5" ht="12">
      <c r="A62" s="7" t="s">
        <v>47</v>
      </c>
      <c r="B62" s="111"/>
      <c r="C62" s="210">
        <f t="shared" si="3"/>
        <v>0</v>
      </c>
      <c r="D62" s="41"/>
      <c r="E62" s="59"/>
    </row>
    <row r="63" spans="1:5" ht="12">
      <c r="A63" s="7" t="s">
        <v>47</v>
      </c>
      <c r="B63" s="111"/>
      <c r="C63" s="210">
        <f t="shared" si="3"/>
        <v>0</v>
      </c>
      <c r="D63" s="41"/>
      <c r="E63" s="59"/>
    </row>
    <row r="64" spans="1:5" ht="12">
      <c r="A64" s="7" t="s">
        <v>47</v>
      </c>
      <c r="B64" s="111"/>
      <c r="C64" s="210">
        <f t="shared" si="3"/>
        <v>0</v>
      </c>
      <c r="D64" s="41"/>
      <c r="E64" s="59"/>
    </row>
    <row r="65" spans="1:6" s="45" customFormat="1" ht="12">
      <c r="A65" s="20" t="s">
        <v>79</v>
      </c>
      <c r="B65" s="110">
        <f>SUM(B51:B64)</f>
        <v>337428.7116314487</v>
      </c>
      <c r="C65" s="210">
        <f t="shared" si="3"/>
        <v>265.06575933342396</v>
      </c>
      <c r="D65" s="43"/>
      <c r="E65" s="83"/>
      <c r="F65" s="84"/>
    </row>
    <row r="66" spans="1:6" s="87" customFormat="1" ht="12">
      <c r="A66" s="63"/>
      <c r="B66" s="110">
        <f>B65-'Combined '!C53</f>
        <v>0</v>
      </c>
      <c r="C66" s="210">
        <f t="shared" si="3"/>
        <v>0</v>
      </c>
      <c r="D66" s="43"/>
      <c r="E66" s="85"/>
      <c r="F66" s="86"/>
    </row>
    <row r="67" spans="1:5" ht="12">
      <c r="A67" s="15" t="s">
        <v>45</v>
      </c>
      <c r="B67" s="110"/>
      <c r="C67" s="210">
        <f t="shared" si="3"/>
        <v>0</v>
      </c>
      <c r="D67" s="43"/>
      <c r="E67" s="50"/>
    </row>
    <row r="68" spans="1:5" ht="12">
      <c r="A68" s="7" t="s">
        <v>19</v>
      </c>
      <c r="B68" s="112">
        <f>'TBLA Expense'!C77+'TBLA Expense'!J77</f>
        <v>11000</v>
      </c>
      <c r="C68" s="210">
        <f t="shared" si="3"/>
        <v>8.64100549882168</v>
      </c>
      <c r="D68" s="41"/>
      <c r="E68" s="59"/>
    </row>
    <row r="69" spans="1:5" ht="12">
      <c r="A69" s="7" t="s">
        <v>20</v>
      </c>
      <c r="B69" s="112">
        <f>'TBLA Expense'!C78+'TBLA Expense'!J78</f>
        <v>2500</v>
      </c>
      <c r="C69" s="210">
        <f t="shared" si="3"/>
        <v>1.9638648860958365</v>
      </c>
      <c r="D69" s="41"/>
      <c r="E69" s="59"/>
    </row>
    <row r="70" spans="1:5" ht="12">
      <c r="A70" s="14" t="s">
        <v>21</v>
      </c>
      <c r="B70" s="112">
        <f>'TBLA Expense'!C79+'TBLA Expense'!J79</f>
        <v>10900</v>
      </c>
      <c r="C70" s="210">
        <f t="shared" si="3"/>
        <v>8.562450903377847</v>
      </c>
      <c r="D70" s="88"/>
      <c r="E70" s="78"/>
    </row>
    <row r="71" spans="1:5" ht="12">
      <c r="A71" s="7" t="s">
        <v>22</v>
      </c>
      <c r="B71" s="112">
        <f>'TBLA Expense'!C80+'TBLA Expense'!J80</f>
        <v>36229</v>
      </c>
      <c r="C71" s="210">
        <f t="shared" si="3"/>
        <v>28.459544383346426</v>
      </c>
      <c r="D71" s="88"/>
      <c r="E71" s="78"/>
    </row>
    <row r="72" spans="1:5" ht="12">
      <c r="A72" s="7" t="s">
        <v>281</v>
      </c>
      <c r="B72" s="112">
        <f>'TBLA Expense'!C81+'TBLA Expense'!J81</f>
        <v>16000</v>
      </c>
      <c r="C72" s="210">
        <f t="shared" si="3"/>
        <v>12.568735271013354</v>
      </c>
      <c r="D72" s="41"/>
      <c r="E72" s="59"/>
    </row>
    <row r="73" spans="1:5" ht="12">
      <c r="A73" s="7" t="s">
        <v>47</v>
      </c>
      <c r="B73" s="113"/>
      <c r="C73" s="210">
        <f t="shared" si="3"/>
        <v>0</v>
      </c>
      <c r="D73" s="41"/>
      <c r="E73" s="59"/>
    </row>
    <row r="74" spans="1:5" ht="12">
      <c r="A74" s="7" t="s">
        <v>47</v>
      </c>
      <c r="B74" s="113"/>
      <c r="C74" s="210">
        <f t="shared" si="3"/>
        <v>0</v>
      </c>
      <c r="D74" s="41"/>
      <c r="E74" s="59"/>
    </row>
    <row r="75" spans="1:5" ht="12">
      <c r="A75" s="7" t="s">
        <v>47</v>
      </c>
      <c r="B75" s="113"/>
      <c r="C75" s="210">
        <f t="shared" si="3"/>
        <v>0</v>
      </c>
      <c r="D75" s="41"/>
      <c r="E75" s="59"/>
    </row>
    <row r="76" spans="1:5" ht="12">
      <c r="A76" s="7" t="s">
        <v>47</v>
      </c>
      <c r="B76" s="113"/>
      <c r="C76" s="210">
        <f t="shared" si="3"/>
        <v>0</v>
      </c>
      <c r="D76" s="41"/>
      <c r="E76" s="59"/>
    </row>
    <row r="77" spans="1:6" s="45" customFormat="1" ht="12">
      <c r="A77" s="20" t="s">
        <v>80</v>
      </c>
      <c r="B77" s="110">
        <f>SUM(B68:B76)</f>
        <v>76629</v>
      </c>
      <c r="C77" s="210">
        <f t="shared" si="3"/>
        <v>60.19560094265515</v>
      </c>
      <c r="D77" s="43"/>
      <c r="E77" s="83"/>
      <c r="F77" s="84"/>
    </row>
    <row r="78" spans="1:6" s="45" customFormat="1" ht="12">
      <c r="A78" s="20"/>
      <c r="B78" s="110">
        <f>B77-'Combined '!C60</f>
        <v>0</v>
      </c>
      <c r="C78" s="210">
        <f t="shared" si="3"/>
        <v>0</v>
      </c>
      <c r="D78" s="43"/>
      <c r="E78" s="83"/>
      <c r="F78" s="84"/>
    </row>
    <row r="79" spans="1:5" ht="12">
      <c r="A79" s="15" t="s">
        <v>54</v>
      </c>
      <c r="B79" s="110"/>
      <c r="C79" s="210">
        <f t="shared" si="3"/>
        <v>0</v>
      </c>
      <c r="D79" s="43"/>
      <c r="E79" s="50"/>
    </row>
    <row r="80" spans="1:5" ht="12">
      <c r="A80" s="14" t="s">
        <v>55</v>
      </c>
      <c r="B80" s="112"/>
      <c r="C80" s="210">
        <f t="shared" si="3"/>
        <v>0</v>
      </c>
      <c r="D80" s="41" t="s">
        <v>5</v>
      </c>
      <c r="E80" s="89"/>
    </row>
    <row r="81" spans="1:5" ht="12">
      <c r="A81" s="14" t="s">
        <v>13</v>
      </c>
      <c r="B81" s="112"/>
      <c r="C81" s="210">
        <f t="shared" si="3"/>
        <v>0</v>
      </c>
      <c r="D81" s="41"/>
      <c r="E81" s="78"/>
    </row>
    <row r="82" spans="1:5" ht="12">
      <c r="A82" s="14" t="s">
        <v>14</v>
      </c>
      <c r="B82" s="112"/>
      <c r="C82" s="210">
        <f t="shared" si="3"/>
        <v>0</v>
      </c>
      <c r="D82" s="41"/>
      <c r="E82" s="78"/>
    </row>
    <row r="83" spans="1:5" ht="12">
      <c r="A83" s="7" t="s">
        <v>47</v>
      </c>
      <c r="B83" s="113"/>
      <c r="C83" s="210">
        <f t="shared" si="3"/>
        <v>0</v>
      </c>
      <c r="D83" s="41"/>
      <c r="E83" s="59"/>
    </row>
    <row r="84" spans="1:5" ht="12">
      <c r="A84" s="7" t="s">
        <v>47</v>
      </c>
      <c r="B84" s="113"/>
      <c r="C84" s="210">
        <f t="shared" si="3"/>
        <v>0</v>
      </c>
      <c r="D84" s="41"/>
      <c r="E84" s="59"/>
    </row>
    <row r="85" spans="1:5" ht="12">
      <c r="A85" s="7" t="s">
        <v>47</v>
      </c>
      <c r="B85" s="113"/>
      <c r="C85" s="210">
        <f t="shared" si="3"/>
        <v>0</v>
      </c>
      <c r="D85" s="41"/>
      <c r="E85" s="59"/>
    </row>
    <row r="86" spans="1:5" ht="12">
      <c r="A86" s="7" t="s">
        <v>47</v>
      </c>
      <c r="B86" s="113"/>
      <c r="C86" s="210">
        <f t="shared" si="3"/>
        <v>0</v>
      </c>
      <c r="D86" s="41"/>
      <c r="E86" s="59"/>
    </row>
    <row r="87" spans="1:5" ht="12">
      <c r="A87" s="7" t="s">
        <v>47</v>
      </c>
      <c r="B87" s="113"/>
      <c r="C87" s="210">
        <f t="shared" si="3"/>
        <v>0</v>
      </c>
      <c r="D87" s="41"/>
      <c r="E87" s="59"/>
    </row>
    <row r="88" spans="1:6" s="45" customFormat="1" ht="12">
      <c r="A88" s="20" t="s">
        <v>81</v>
      </c>
      <c r="B88" s="110">
        <f>SUM(B80:B87)</f>
        <v>0</v>
      </c>
      <c r="C88" s="210">
        <f t="shared" si="3"/>
        <v>0</v>
      </c>
      <c r="D88" s="43"/>
      <c r="E88" s="83"/>
      <c r="F88" s="84"/>
    </row>
    <row r="89" spans="1:6" s="45" customFormat="1" ht="12">
      <c r="A89" s="20"/>
      <c r="B89" s="110"/>
      <c r="C89" s="210">
        <f t="shared" si="3"/>
        <v>0</v>
      </c>
      <c r="D89" s="43"/>
      <c r="E89" s="83"/>
      <c r="F89" s="84"/>
    </row>
    <row r="90" spans="1:5" ht="12">
      <c r="A90" s="15" t="s">
        <v>46</v>
      </c>
      <c r="B90" s="110"/>
      <c r="C90" s="210">
        <f t="shared" si="3"/>
        <v>0</v>
      </c>
      <c r="D90" s="43"/>
      <c r="E90" s="50"/>
    </row>
    <row r="91" spans="1:5" ht="12">
      <c r="A91" s="14" t="s">
        <v>15</v>
      </c>
      <c r="B91" s="112">
        <f>'TBLA Expense'!C90+'TBLA Expense'!J90</f>
        <v>5000</v>
      </c>
      <c r="C91" s="210">
        <f t="shared" si="3"/>
        <v>3.927729772191673</v>
      </c>
      <c r="D91" s="41"/>
      <c r="E91" s="78"/>
    </row>
    <row r="92" spans="1:5" ht="12">
      <c r="A92" s="23" t="s">
        <v>148</v>
      </c>
      <c r="B92" s="112">
        <f>'TBLA Expense'!C91+'TBLA Expense'!J91</f>
        <v>21049</v>
      </c>
      <c r="C92" s="210">
        <f t="shared" si="3"/>
        <v>16.534956794972505</v>
      </c>
      <c r="D92" s="41" t="s">
        <v>5</v>
      </c>
      <c r="E92" s="78"/>
    </row>
    <row r="93" spans="1:5" ht="12">
      <c r="A93" s="14" t="s">
        <v>16</v>
      </c>
      <c r="B93" s="112">
        <f>'TBLA Expense'!C92+'TBLA Expense'!J92</f>
        <v>40400.2</v>
      </c>
      <c r="C93" s="210">
        <f t="shared" si="3"/>
        <v>31.736213668499605</v>
      </c>
      <c r="D93" s="41"/>
      <c r="E93" s="78"/>
    </row>
    <row r="94" spans="1:5" ht="12">
      <c r="A94" s="14" t="s">
        <v>17</v>
      </c>
      <c r="B94" s="112">
        <f>'TBLA Expense'!C93+'TBLA Expense'!J93</f>
        <v>48918</v>
      </c>
      <c r="C94" s="210">
        <f t="shared" si="3"/>
        <v>38.427336999214454</v>
      </c>
      <c r="D94" s="41"/>
      <c r="E94" s="78"/>
    </row>
    <row r="95" spans="1:5" ht="12">
      <c r="A95" s="14" t="s">
        <v>18</v>
      </c>
      <c r="B95" s="112">
        <f>'TBLA Expense'!C94+'TBLA Expense'!J94</f>
        <v>23500</v>
      </c>
      <c r="C95" s="210">
        <f t="shared" si="3"/>
        <v>18.460329929300865</v>
      </c>
      <c r="D95" s="41"/>
      <c r="E95" s="78"/>
    </row>
    <row r="96" spans="1:5" ht="12">
      <c r="A96" s="7" t="s">
        <v>26</v>
      </c>
      <c r="B96" s="112">
        <f>'TBLA Expense'!C95+'TBLA Expense'!J95</f>
        <v>15189.142002374392</v>
      </c>
      <c r="C96" s="210">
        <f t="shared" si="3"/>
        <v>11.931769051354589</v>
      </c>
      <c r="D96" s="41" t="s">
        <v>5</v>
      </c>
      <c r="E96" s="59"/>
    </row>
    <row r="97" spans="1:5" ht="12">
      <c r="A97" s="14" t="s">
        <v>23</v>
      </c>
      <c r="B97" s="112">
        <f>'TBLA Expense'!C96+'TBLA Expense'!J96</f>
        <v>59200</v>
      </c>
      <c r="C97" s="210">
        <f t="shared" si="3"/>
        <v>46.50432050274941</v>
      </c>
      <c r="D97" s="41"/>
      <c r="E97" s="78"/>
    </row>
    <row r="98" spans="1:5" ht="12">
      <c r="A98" s="14" t="s">
        <v>24</v>
      </c>
      <c r="B98" s="112">
        <f>'TBLA Expense'!C97+'TBLA Expense'!J97</f>
        <v>35100</v>
      </c>
      <c r="C98" s="210">
        <f t="shared" si="3"/>
        <v>27.572663000785546</v>
      </c>
      <c r="D98" s="41"/>
      <c r="E98" s="78"/>
    </row>
    <row r="99" spans="1:5" ht="24">
      <c r="A99" s="23" t="s">
        <v>113</v>
      </c>
      <c r="B99" s="112">
        <f>'TBLA Expense'!C98+'TBLA Expense'!J98</f>
        <v>122575</v>
      </c>
      <c r="C99" s="210">
        <f t="shared" si="3"/>
        <v>96.28829536527887</v>
      </c>
      <c r="D99" s="41"/>
      <c r="E99" s="78"/>
    </row>
    <row r="100" spans="1:5" ht="12">
      <c r="A100" s="7" t="s">
        <v>30</v>
      </c>
      <c r="B100" s="112">
        <f>'TBLA Expense'!C99+'TBLA Expense'!J99</f>
        <v>1650</v>
      </c>
      <c r="C100" s="210">
        <f t="shared" si="3"/>
        <v>1.296150824823252</v>
      </c>
      <c r="D100" s="41"/>
      <c r="E100" s="59"/>
    </row>
    <row r="101" spans="1:5" ht="12">
      <c r="A101" s="7" t="s">
        <v>31</v>
      </c>
      <c r="B101" s="112">
        <f>'TBLA Expense'!C100+'TBLA Expense'!J100</f>
        <v>6125</v>
      </c>
      <c r="C101" s="210">
        <f t="shared" si="3"/>
        <v>4.8114689709348</v>
      </c>
      <c r="D101" s="41"/>
      <c r="E101" s="59"/>
    </row>
    <row r="102" spans="1:6" ht="12">
      <c r="A102" s="51" t="s">
        <v>102</v>
      </c>
      <c r="B102" s="112">
        <f>'TBLA Expense'!C101+'TBLA Expense'!J101</f>
        <v>65500</v>
      </c>
      <c r="C102" s="210">
        <f t="shared" si="3"/>
        <v>51.45326001571092</v>
      </c>
      <c r="D102" s="52"/>
      <c r="E102" s="59"/>
      <c r="F102" s="90"/>
    </row>
    <row r="103" spans="1:6" ht="12">
      <c r="A103" s="51" t="s">
        <v>48</v>
      </c>
      <c r="B103" s="112">
        <f>'TBLA Expense'!C102+'TBLA Expense'!J102</f>
        <v>0</v>
      </c>
      <c r="C103" s="210">
        <f t="shared" si="3"/>
        <v>0</v>
      </c>
      <c r="D103" s="52"/>
      <c r="E103" s="59"/>
      <c r="F103" s="90"/>
    </row>
    <row r="104" spans="1:5" ht="12">
      <c r="A104" s="51" t="s">
        <v>27</v>
      </c>
      <c r="B104" s="112">
        <f>'TBLA Expense'!C103+'TBLA Expense'!J103</f>
        <v>688675</v>
      </c>
      <c r="C104" s="210">
        <f t="shared" si="3"/>
        <v>540.9858601728201</v>
      </c>
      <c r="D104" s="52"/>
      <c r="E104" s="59"/>
    </row>
    <row r="105" spans="1:5" ht="12">
      <c r="A105" s="51" t="s">
        <v>28</v>
      </c>
      <c r="B105" s="112">
        <f>'TBLA Expense'!C104+'TBLA Expense'!J104</f>
        <v>115200</v>
      </c>
      <c r="C105" s="210">
        <f t="shared" si="3"/>
        <v>90.49489395129615</v>
      </c>
      <c r="D105" s="52"/>
      <c r="E105" s="59"/>
    </row>
    <row r="106" spans="1:5" ht="12">
      <c r="A106" s="96" t="s">
        <v>153</v>
      </c>
      <c r="B106" s="114"/>
      <c r="C106" s="210">
        <f t="shared" si="3"/>
        <v>0</v>
      </c>
      <c r="D106" s="52"/>
      <c r="E106" s="59"/>
    </row>
    <row r="107" spans="1:5" ht="12">
      <c r="A107" s="51" t="s">
        <v>271</v>
      </c>
      <c r="B107" s="114">
        <f>'TBLA Expense'!C106+'TBLA Expense'!J106</f>
        <v>16626</v>
      </c>
      <c r="C107" s="210">
        <f t="shared" si="3"/>
        <v>13.060487038491752</v>
      </c>
      <c r="D107" s="52"/>
      <c r="E107" s="59"/>
    </row>
    <row r="108" spans="1:5" ht="12">
      <c r="A108" s="51" t="s">
        <v>272</v>
      </c>
      <c r="B108" s="114">
        <f>'TBLA Expense'!C107+'TBLA Expense'!J107</f>
        <v>11833.805771428571</v>
      </c>
      <c r="C108" s="210">
        <f t="shared" si="3"/>
        <v>9.29599824935473</v>
      </c>
      <c r="D108" s="52"/>
      <c r="E108" s="59"/>
    </row>
    <row r="109" spans="1:5" ht="12">
      <c r="A109" s="51" t="s">
        <v>274</v>
      </c>
      <c r="B109" s="114">
        <f>'TBLA Expense'!C108+'TBLA Expense'!J108+'TBLA Expense'!J110+'TBLA Expense'!J111+'TBLA Expense'!C111+'TBLA Expense'!C110+'TBLA Expense'!C105+'TBLA Expense'!J105</f>
        <v>27781.922181066213</v>
      </c>
      <c r="C109" s="210">
        <f t="shared" si="3"/>
        <v>21.8239765758572</v>
      </c>
      <c r="D109" s="52"/>
      <c r="E109" s="59"/>
    </row>
    <row r="110" spans="1:5" ht="12">
      <c r="A110" s="51" t="s">
        <v>273</v>
      </c>
      <c r="B110" s="115">
        <f>'TBLA Expense'!C109+'TBLA Expense'!J109</f>
        <v>127376</v>
      </c>
      <c r="C110" s="210">
        <f t="shared" si="3"/>
        <v>100.05970149253731</v>
      </c>
      <c r="D110" s="53"/>
      <c r="E110" s="59"/>
    </row>
    <row r="111" spans="1:6" s="45" customFormat="1" ht="12">
      <c r="A111" s="20" t="s">
        <v>82</v>
      </c>
      <c r="B111" s="110">
        <f>SUM(B91:B110)</f>
        <v>1431699.069954869</v>
      </c>
      <c r="C111" s="210">
        <f t="shared" si="3"/>
        <v>1124.6654123761737</v>
      </c>
      <c r="D111" s="43"/>
      <c r="E111" s="83"/>
      <c r="F111" s="84"/>
    </row>
    <row r="112" spans="1:6" s="47" customFormat="1" ht="12">
      <c r="A112" s="94"/>
      <c r="B112" s="110">
        <f>B111-'Combined '!C89</f>
        <v>0</v>
      </c>
      <c r="C112" s="210">
        <f t="shared" si="3"/>
        <v>0</v>
      </c>
      <c r="D112" s="42"/>
      <c r="E112" s="76"/>
      <c r="F112" s="77"/>
    </row>
    <row r="113" spans="1:5" ht="12">
      <c r="A113" s="94" t="s">
        <v>32</v>
      </c>
      <c r="B113" s="110"/>
      <c r="C113" s="210">
        <f t="shared" si="3"/>
        <v>0</v>
      </c>
      <c r="D113" s="42"/>
      <c r="E113" s="59"/>
    </row>
    <row r="114" spans="1:6" ht="13.5">
      <c r="A114" s="51" t="s">
        <v>33</v>
      </c>
      <c r="B114" s="115">
        <f>'TBLA Expense'!C115+'TBLA Expense'!J115</f>
        <v>290716</v>
      </c>
      <c r="C114" s="210">
        <f t="shared" si="3"/>
        <v>228.3707776904949</v>
      </c>
      <c r="D114" s="52" t="s">
        <v>5</v>
      </c>
      <c r="E114" s="59"/>
      <c r="F114" t="s">
        <v>247</v>
      </c>
    </row>
    <row r="115" spans="1:6" ht="13.5">
      <c r="A115" s="149" t="s">
        <v>154</v>
      </c>
      <c r="B115" s="115">
        <f>'TBLA Expense'!C116+'TBLA Expense'!J116</f>
        <v>47500</v>
      </c>
      <c r="C115" s="210">
        <f aca="true" t="shared" si="4" ref="C115:C141">B115/$B$1</f>
        <v>37.3134328358209</v>
      </c>
      <c r="D115" s="52"/>
      <c r="E115" s="59"/>
      <c r="F115" t="s">
        <v>220</v>
      </c>
    </row>
    <row r="116" spans="1:6" ht="13.5">
      <c r="A116" s="91" t="s">
        <v>34</v>
      </c>
      <c r="B116" s="115">
        <f>'TBLA Expense'!C117+'TBLA Expense'!J117</f>
        <v>185500</v>
      </c>
      <c r="C116" s="210">
        <f t="shared" si="4"/>
        <v>145.71877454831107</v>
      </c>
      <c r="D116" s="52" t="s">
        <v>5</v>
      </c>
      <c r="E116" s="59"/>
      <c r="F116" t="s">
        <v>34</v>
      </c>
    </row>
    <row r="117" spans="1:6" ht="13.5">
      <c r="A117" s="51" t="s">
        <v>105</v>
      </c>
      <c r="B117" s="115">
        <f>'TBLA Expense'!C118+'TBLA Expense'!J118</f>
        <v>38000</v>
      </c>
      <c r="C117" s="210">
        <f t="shared" si="4"/>
        <v>29.850746268656717</v>
      </c>
      <c r="D117" s="52"/>
      <c r="E117" s="59"/>
      <c r="F117" t="s">
        <v>103</v>
      </c>
    </row>
    <row r="118" spans="1:6" ht="13.5">
      <c r="A118" s="54" t="s">
        <v>35</v>
      </c>
      <c r="B118" s="115">
        <f>'TBLA Expense'!C119+'TBLA Expense'!J119</f>
        <v>21000</v>
      </c>
      <c r="C118" s="210">
        <f t="shared" si="4"/>
        <v>16.496465043205028</v>
      </c>
      <c r="D118" s="52"/>
      <c r="E118" s="78"/>
      <c r="F118" t="s">
        <v>35</v>
      </c>
    </row>
    <row r="119" spans="1:6" ht="13.5">
      <c r="A119" s="54" t="s">
        <v>36</v>
      </c>
      <c r="B119" s="115">
        <f>'TBLA Expense'!C120+'TBLA Expense'!J120</f>
        <v>112501.5</v>
      </c>
      <c r="C119" s="210">
        <f t="shared" si="4"/>
        <v>88.3750981932443</v>
      </c>
      <c r="D119" s="52"/>
      <c r="E119" s="78"/>
      <c r="F119" t="s">
        <v>36</v>
      </c>
    </row>
    <row r="120" spans="1:6" ht="13.5">
      <c r="A120" s="51" t="s">
        <v>25</v>
      </c>
      <c r="B120" s="115">
        <f>'TBLA Expense'!C121+'TBLA Expense'!J121</f>
        <v>58500</v>
      </c>
      <c r="C120" s="210">
        <f t="shared" si="4"/>
        <v>45.954438334642575</v>
      </c>
      <c r="D120" s="52"/>
      <c r="E120" s="59"/>
      <c r="F120" t="s">
        <v>25</v>
      </c>
    </row>
    <row r="121" spans="1:6" ht="13.5">
      <c r="A121" s="51" t="s">
        <v>29</v>
      </c>
      <c r="B121" s="115">
        <f>'TBLA Expense'!C122+'TBLA Expense'!J122</f>
        <v>44640</v>
      </c>
      <c r="C121" s="210">
        <f t="shared" si="4"/>
        <v>35.06677140612726</v>
      </c>
      <c r="D121" s="52"/>
      <c r="E121" s="59"/>
      <c r="F121" t="s">
        <v>29</v>
      </c>
    </row>
    <row r="122" spans="1:6" ht="13.5">
      <c r="A122" s="96" t="s">
        <v>155</v>
      </c>
      <c r="B122" s="115">
        <f>'TBLA Expense'!C85+'TBLA Expense'!J85</f>
        <v>1262991</v>
      </c>
      <c r="C122" s="210">
        <f t="shared" si="4"/>
        <v>992.1374705420267</v>
      </c>
      <c r="D122" s="52"/>
      <c r="E122" s="59"/>
      <c r="F122"/>
    </row>
    <row r="123" spans="1:6" ht="13.5">
      <c r="A123" s="51" t="str">
        <f>'6 YEAR TOTAL'!A123</f>
        <v>Other - Bond - Redemption of Principal</v>
      </c>
      <c r="B123" s="115">
        <f>'TBLA Expense'!C84+'TBLA Expense'!C86+'TBLA Expense'!J84</f>
        <v>282397</v>
      </c>
      <c r="C123" s="210">
        <f t="shared" si="4"/>
        <v>221.83582089552237</v>
      </c>
      <c r="D123" s="52"/>
      <c r="E123" s="59"/>
      <c r="F123"/>
    </row>
    <row r="124" spans="1:5" ht="12">
      <c r="A124" s="51" t="str">
        <f>'6 YEAR TOTAL'!A124</f>
        <v>Other - Security</v>
      </c>
      <c r="B124" s="115">
        <f>'TBLA Expense'!C124+'TBLA Expense'!J124</f>
        <v>80000</v>
      </c>
      <c r="C124" s="210">
        <f t="shared" si="4"/>
        <v>62.84367635506677</v>
      </c>
      <c r="D124" s="52"/>
      <c r="E124" s="59"/>
    </row>
    <row r="125" spans="1:5" ht="12">
      <c r="A125" s="51" t="str">
        <f>'6 YEAR TOTAL'!A125</f>
        <v>Other - Equipment leases</v>
      </c>
      <c r="B125" s="115">
        <f>'TBLA Expense'!C123+'TBLA Expense'!J123</f>
        <v>16000</v>
      </c>
      <c r="C125" s="210">
        <f t="shared" si="4"/>
        <v>12.568735271013354</v>
      </c>
      <c r="D125" s="52"/>
      <c r="E125" s="59"/>
    </row>
    <row r="126" spans="1:5" ht="12">
      <c r="A126" s="51" t="s">
        <v>47</v>
      </c>
      <c r="B126" s="115"/>
      <c r="C126" s="210">
        <f t="shared" si="4"/>
        <v>0</v>
      </c>
      <c r="D126" s="52"/>
      <c r="E126" s="59"/>
    </row>
    <row r="127" spans="1:5" ht="12">
      <c r="A127" s="20" t="s">
        <v>37</v>
      </c>
      <c r="B127" s="110">
        <f>SUM(B114:B126)</f>
        <v>2439745.5</v>
      </c>
      <c r="C127" s="210">
        <f t="shared" si="4"/>
        <v>1916.5322073841319</v>
      </c>
      <c r="D127" s="43"/>
      <c r="E127" s="59"/>
    </row>
    <row r="128" spans="1:6" s="47" customFormat="1" ht="12">
      <c r="A128" s="63"/>
      <c r="B128" s="110"/>
      <c r="C128" s="210">
        <f t="shared" si="4"/>
        <v>0</v>
      </c>
      <c r="D128" s="43"/>
      <c r="E128" s="76"/>
      <c r="F128" s="77"/>
    </row>
    <row r="129" spans="1:5" ht="12">
      <c r="A129" s="17" t="s">
        <v>83</v>
      </c>
      <c r="B129" s="116"/>
      <c r="C129" s="210">
        <f t="shared" si="4"/>
        <v>0</v>
      </c>
      <c r="D129" s="42"/>
      <c r="E129" s="59"/>
    </row>
    <row r="130" spans="1:6" s="47" customFormat="1" ht="12">
      <c r="A130" s="96" t="s">
        <v>85</v>
      </c>
      <c r="B130" s="117">
        <f>'TBLA Expense'!C127+'TBLA Expense'!C128+'TBLA Expense'!J127+'TBLA Expense'!J128</f>
        <v>0</v>
      </c>
      <c r="C130" s="210">
        <f t="shared" si="4"/>
        <v>0</v>
      </c>
      <c r="D130" s="95"/>
      <c r="E130" s="76"/>
      <c r="F130" s="77"/>
    </row>
    <row r="131" spans="1:6" s="47" customFormat="1" ht="12">
      <c r="A131" s="96" t="s">
        <v>111</v>
      </c>
      <c r="B131" s="117">
        <f>'TBLA Expense'!C129+'TBLA Expense'!J129</f>
        <v>86188.79999999999</v>
      </c>
      <c r="C131" s="210">
        <f t="shared" si="4"/>
        <v>67.70526315789473</v>
      </c>
      <c r="D131" s="79" t="s">
        <v>279</v>
      </c>
      <c r="E131" s="76"/>
      <c r="F131" s="77"/>
    </row>
    <row r="132" spans="1:6" s="47" customFormat="1" ht="12">
      <c r="A132" s="96" t="s">
        <v>84</v>
      </c>
      <c r="B132" s="117">
        <f>'TBLA Expense'!C130+'TBLA Expense'!J130</f>
        <v>500000</v>
      </c>
      <c r="C132" s="210">
        <f t="shared" si="4"/>
        <v>392.77297721916733</v>
      </c>
      <c r="D132" s="95"/>
      <c r="E132" s="76"/>
      <c r="F132" s="77"/>
    </row>
    <row r="133" spans="1:6" s="47" customFormat="1" ht="24">
      <c r="A133" s="23" t="s">
        <v>169</v>
      </c>
      <c r="B133" s="117"/>
      <c r="C133" s="210">
        <f t="shared" si="4"/>
        <v>0</v>
      </c>
      <c r="D133" s="95"/>
      <c r="E133" s="76"/>
      <c r="F133" s="77"/>
    </row>
    <row r="134" spans="1:6" s="56" customFormat="1" ht="12">
      <c r="A134" s="96" t="s">
        <v>167</v>
      </c>
      <c r="B134" s="111"/>
      <c r="C134" s="210">
        <f t="shared" si="4"/>
        <v>0</v>
      </c>
      <c r="D134" s="95"/>
      <c r="E134" s="57"/>
      <c r="F134" s="58"/>
    </row>
    <row r="135" spans="1:5" ht="12">
      <c r="A135" s="51" t="s">
        <v>47</v>
      </c>
      <c r="B135" s="109"/>
      <c r="C135" s="210">
        <f t="shared" si="4"/>
        <v>0</v>
      </c>
      <c r="D135" s="41"/>
      <c r="E135" s="59"/>
    </row>
    <row r="136" spans="1:5" ht="12">
      <c r="A136" s="51" t="s">
        <v>47</v>
      </c>
      <c r="B136" s="109"/>
      <c r="C136" s="210">
        <f t="shared" si="4"/>
        <v>0</v>
      </c>
      <c r="D136" s="41"/>
      <c r="E136" s="59"/>
    </row>
    <row r="137" spans="1:5" ht="12">
      <c r="A137" s="20" t="s">
        <v>38</v>
      </c>
      <c r="B137" s="110">
        <f>SUM(B130:B136)</f>
        <v>586188.8</v>
      </c>
      <c r="C137" s="210">
        <f t="shared" si="4"/>
        <v>460.4782403770621</v>
      </c>
      <c r="D137" s="43"/>
      <c r="E137" s="59"/>
    </row>
    <row r="138" spans="1:5" ht="12">
      <c r="A138" s="20"/>
      <c r="B138" s="110"/>
      <c r="C138" s="210">
        <f t="shared" si="4"/>
        <v>0</v>
      </c>
      <c r="D138" s="43"/>
      <c r="E138" s="59"/>
    </row>
    <row r="139" spans="1:5" ht="12">
      <c r="A139" s="20" t="s">
        <v>39</v>
      </c>
      <c r="B139" s="110">
        <f>B137+B127+B111+B88+B77+B65+B48</f>
        <v>12537721.892254356</v>
      </c>
      <c r="C139" s="210">
        <f t="shared" si="4"/>
        <v>9848.956710333352</v>
      </c>
      <c r="D139" s="43"/>
      <c r="E139" s="59"/>
    </row>
    <row r="140" spans="1:5" ht="12">
      <c r="A140" s="130"/>
      <c r="B140" s="118">
        <f>B139-'Combined '!C108</f>
        <v>0</v>
      </c>
      <c r="C140" s="210">
        <f t="shared" si="4"/>
        <v>0</v>
      </c>
      <c r="D140" s="92"/>
      <c r="E140" s="59"/>
    </row>
    <row r="141" spans="1:6" s="47" customFormat="1" ht="12">
      <c r="A141" s="129" t="s">
        <v>87</v>
      </c>
      <c r="B141" s="118">
        <f>B35-B139</f>
        <v>31682.107745643705</v>
      </c>
      <c r="C141" s="210">
        <f t="shared" si="4"/>
        <v>24.887751567669838</v>
      </c>
      <c r="D141" s="92"/>
      <c r="E141" s="76"/>
      <c r="F141" s="77"/>
    </row>
    <row r="142" ht="12">
      <c r="B142" s="119">
        <f>'Combined '!C110-B141</f>
        <v>-1.862645149230957E-09</v>
      </c>
    </row>
    <row r="143" spans="1:2" ht="12">
      <c r="A143" s="48" t="s">
        <v>88</v>
      </c>
      <c r="B143" s="119">
        <f>B141-'6 YEAR TOTAL'!C141</f>
        <v>0</v>
      </c>
    </row>
  </sheetData>
  <sheetProtection/>
  <mergeCells count="1">
    <mergeCell ref="A3:D3"/>
  </mergeCells>
  <printOptions/>
  <pageMargins left="0.7" right="0.7" top="0.75" bottom="0.75" header="0.3" footer="0.3"/>
  <pageSetup horizontalDpi="1200" verticalDpi="1200" orientation="portrait" scale="91"/>
</worksheet>
</file>

<file path=xl/worksheets/sheet5.xml><?xml version="1.0" encoding="utf-8"?>
<worksheet xmlns="http://schemas.openxmlformats.org/spreadsheetml/2006/main" xmlns:r="http://schemas.openxmlformats.org/officeDocument/2006/relationships">
  <sheetPr>
    <tabColor rgb="FF00B050"/>
  </sheetPr>
  <dimension ref="A1:AC60"/>
  <sheetViews>
    <sheetView workbookViewId="0" topLeftCell="A1">
      <selection activeCell="A1" sqref="A1:F1"/>
    </sheetView>
  </sheetViews>
  <sheetFormatPr defaultColWidth="15.7109375" defaultRowHeight="15"/>
  <cols>
    <col min="1" max="1" width="33.140625" style="48" customWidth="1"/>
    <col min="2" max="2" width="14.421875" style="48" customWidth="1"/>
    <col min="3" max="5" width="15.7109375" style="48" customWidth="1"/>
    <col min="6" max="6" width="15.7109375" style="45" customWidth="1"/>
    <col min="7" max="10" width="15.7109375" style="45" hidden="1" customWidth="1"/>
    <col min="11" max="29" width="15.7109375" style="45" customWidth="1"/>
    <col min="30" max="16384" width="15.7109375" style="48" customWidth="1"/>
  </cols>
  <sheetData>
    <row r="1" spans="1:6" ht="18" customHeight="1">
      <c r="A1" s="301" t="s">
        <v>106</v>
      </c>
      <c r="B1" s="301"/>
      <c r="C1" s="301"/>
      <c r="D1" s="301"/>
      <c r="E1" s="301"/>
      <c r="F1" s="301"/>
    </row>
    <row r="2" spans="1:29" s="4" customFormat="1" ht="16.5" customHeight="1">
      <c r="A2" s="302"/>
      <c r="B2" s="302"/>
      <c r="C2" s="302"/>
      <c r="D2" s="302"/>
      <c r="E2" s="302"/>
      <c r="F2" s="302"/>
      <c r="G2" s="3"/>
      <c r="H2" s="3"/>
      <c r="I2" s="3"/>
      <c r="J2" s="3"/>
      <c r="K2" s="3"/>
      <c r="L2" s="3"/>
      <c r="M2" s="3"/>
      <c r="N2" s="3"/>
      <c r="O2" s="3"/>
      <c r="P2" s="3"/>
      <c r="Q2" s="3"/>
      <c r="R2" s="3"/>
      <c r="S2" s="3"/>
      <c r="T2" s="3"/>
      <c r="U2" s="3"/>
      <c r="V2" s="3"/>
      <c r="W2" s="3"/>
      <c r="X2" s="3"/>
      <c r="Y2" s="3"/>
      <c r="Z2" s="3"/>
      <c r="AA2" s="3"/>
      <c r="AB2" s="3"/>
      <c r="AC2" s="3"/>
    </row>
    <row r="3" spans="1:29" s="6" customFormat="1" ht="12.75" thickBot="1">
      <c r="A3" s="5"/>
      <c r="B3" s="3"/>
      <c r="C3" s="3"/>
      <c r="D3" s="3"/>
      <c r="E3" s="3"/>
      <c r="F3" s="3"/>
      <c r="G3" s="3"/>
      <c r="H3" s="3"/>
      <c r="I3" s="3"/>
      <c r="J3" s="3"/>
      <c r="K3" s="3"/>
      <c r="L3" s="3"/>
      <c r="M3" s="3"/>
      <c r="N3" s="3"/>
      <c r="O3" s="3"/>
      <c r="P3" s="3"/>
      <c r="Q3" s="3"/>
      <c r="R3" s="3"/>
      <c r="S3" s="3"/>
      <c r="T3" s="3"/>
      <c r="U3" s="3"/>
      <c r="V3" s="3"/>
      <c r="W3" s="3"/>
      <c r="X3" s="3"/>
      <c r="Y3" s="3"/>
      <c r="Z3" s="3"/>
      <c r="AA3" s="3"/>
      <c r="AB3" s="3"/>
      <c r="AC3" s="3"/>
    </row>
    <row r="4" spans="1:29" s="6" customFormat="1" ht="21.75" customHeight="1" thickBot="1">
      <c r="A4" s="303" t="s">
        <v>57</v>
      </c>
      <c r="B4" s="304"/>
      <c r="C4" s="304"/>
      <c r="D4" s="304"/>
      <c r="E4" s="304"/>
      <c r="F4" s="305"/>
      <c r="G4" s="3"/>
      <c r="H4" s="3"/>
      <c r="I4" s="3"/>
      <c r="J4" s="3"/>
      <c r="K4" s="3"/>
      <c r="L4" s="3"/>
      <c r="M4" s="3"/>
      <c r="N4" s="3"/>
      <c r="O4" s="3"/>
      <c r="P4" s="3"/>
      <c r="Q4" s="3"/>
      <c r="R4" s="3"/>
      <c r="S4" s="3"/>
      <c r="T4" s="3"/>
      <c r="U4" s="3"/>
      <c r="V4" s="3"/>
      <c r="W4" s="3"/>
      <c r="X4" s="3"/>
      <c r="Y4" s="3"/>
      <c r="Z4" s="3"/>
      <c r="AA4" s="3"/>
      <c r="AB4" s="3"/>
      <c r="AC4" s="3"/>
    </row>
    <row r="5" spans="1:28" s="6" customFormat="1" ht="50.25" customHeight="1" thickBot="1">
      <c r="A5" s="303" t="s">
        <v>280</v>
      </c>
      <c r="B5" s="304"/>
      <c r="C5" s="304"/>
      <c r="D5" s="304"/>
      <c r="E5" s="304"/>
      <c r="F5" s="305"/>
      <c r="G5" s="3">
        <v>0.28</v>
      </c>
      <c r="H5" s="3"/>
      <c r="I5" s="3"/>
      <c r="J5" s="3"/>
      <c r="K5" s="3"/>
      <c r="L5" s="3"/>
      <c r="M5" s="3"/>
      <c r="N5" s="3"/>
      <c r="O5" s="3"/>
      <c r="P5" s="3"/>
      <c r="Q5" s="3"/>
      <c r="R5" s="3"/>
      <c r="S5" s="3"/>
      <c r="T5" s="3"/>
      <c r="U5" s="3"/>
      <c r="V5" s="3"/>
      <c r="W5" s="3"/>
      <c r="X5" s="3"/>
      <c r="Y5" s="3"/>
      <c r="Z5" s="3"/>
      <c r="AA5" s="3"/>
      <c r="AB5" s="3"/>
    </row>
    <row r="6" spans="1:28" s="4" customFormat="1" ht="27" customHeight="1" thickBot="1">
      <c r="A6" s="21" t="s">
        <v>68</v>
      </c>
      <c r="B6" s="21" t="s">
        <v>71</v>
      </c>
      <c r="C6" s="21" t="s">
        <v>72</v>
      </c>
      <c r="D6" s="67" t="s">
        <v>69</v>
      </c>
      <c r="E6" s="21" t="s">
        <v>67</v>
      </c>
      <c r="F6" s="21" t="s">
        <v>70</v>
      </c>
      <c r="G6" s="3"/>
      <c r="H6" s="3"/>
      <c r="I6" s="3"/>
      <c r="J6" s="3"/>
      <c r="K6" s="3"/>
      <c r="L6" s="3"/>
      <c r="M6" s="3"/>
      <c r="N6" s="3"/>
      <c r="O6" s="3"/>
      <c r="P6" s="3"/>
      <c r="Q6" s="3"/>
      <c r="R6" s="3"/>
      <c r="S6" s="3"/>
      <c r="T6" s="3"/>
      <c r="U6" s="3"/>
      <c r="V6" s="3"/>
      <c r="W6" s="3"/>
      <c r="X6" s="3"/>
      <c r="Y6" s="3"/>
      <c r="Z6" s="3"/>
      <c r="AA6" s="3"/>
      <c r="AB6" s="3"/>
    </row>
    <row r="7" spans="1:28" s="6" customFormat="1" ht="12">
      <c r="A7" s="9" t="str">
        <f>'TBLA Expense'!A9</f>
        <v>Regular Ed Instructors</v>
      </c>
      <c r="B7" s="69">
        <f>'TBLA Expense'!C9+'TBLA Expense'!J9</f>
        <v>52.62339278307756</v>
      </c>
      <c r="C7" s="68">
        <f>D7/B7</f>
        <v>41007.0869871338</v>
      </c>
      <c r="D7" s="68">
        <f>J7</f>
        <v>2157932.0454137707</v>
      </c>
      <c r="E7" s="69">
        <f>D7*$G$5</f>
        <v>604220.9727158558</v>
      </c>
      <c r="F7" s="70">
        <f>D7+E7</f>
        <v>2762153.0181296263</v>
      </c>
      <c r="G7" s="3"/>
      <c r="H7" s="278">
        <f>'TBLA Expense'!C9*'TBLA Expense'!C36</f>
        <v>1125439.3982342833</v>
      </c>
      <c r="I7" s="278">
        <f>'TBLA Expense'!J9*'TBLA Expense'!J36</f>
        <v>1032492.6471794872</v>
      </c>
      <c r="J7" s="278">
        <f>H7+I7</f>
        <v>2157932.0454137707</v>
      </c>
      <c r="K7" s="3"/>
      <c r="L7" s="3"/>
      <c r="M7" s="3"/>
      <c r="N7" s="3"/>
      <c r="O7" s="3"/>
      <c r="P7" s="3"/>
      <c r="Q7" s="3"/>
      <c r="R7" s="3"/>
      <c r="S7" s="3"/>
      <c r="T7" s="3"/>
      <c r="U7" s="3"/>
      <c r="V7" s="3"/>
      <c r="W7" s="3"/>
      <c r="X7" s="3"/>
      <c r="Y7" s="3"/>
      <c r="Z7" s="3"/>
      <c r="AA7" s="3"/>
      <c r="AB7" s="3"/>
    </row>
    <row r="8" spans="1:28" s="6" customFormat="1" ht="12">
      <c r="A8" s="9" t="str">
        <f>'TBLA Expense'!A10</f>
        <v>Teachers Assistants</v>
      </c>
      <c r="B8" s="69">
        <f>'TBLA Expense'!C10+'TBLA Expense'!J10</f>
        <v>19.764077343919734</v>
      </c>
      <c r="C8" s="68">
        <f aca="true" t="shared" si="0" ref="C8:C25">D8/B8</f>
        <v>22932.029258750346</v>
      </c>
      <c r="D8" s="68">
        <f aca="true" t="shared" si="1" ref="D8:D26">J8</f>
        <v>453230.39992297214</v>
      </c>
      <c r="E8" s="69">
        <f aca="true" t="shared" si="2" ref="E8:E46">D8*$G$5</f>
        <v>126904.51197843222</v>
      </c>
      <c r="F8" s="70">
        <f aca="true" t="shared" si="3" ref="F8:F46">D8+E8</f>
        <v>580134.9119014044</v>
      </c>
      <c r="G8" s="3"/>
      <c r="H8" s="278">
        <f>'TBLA Expense'!C10*'TBLA Expense'!C37</f>
        <v>344110.16182773403</v>
      </c>
      <c r="I8" s="278">
        <f>'TBLA Expense'!J10*'TBLA Expense'!J37</f>
        <v>109120.2380952381</v>
      </c>
      <c r="J8" s="278">
        <f aca="true" t="shared" si="4" ref="J8:J26">H8+I8</f>
        <v>453230.39992297214</v>
      </c>
      <c r="K8" s="3"/>
      <c r="L8" s="3"/>
      <c r="M8" s="3"/>
      <c r="N8" s="3"/>
      <c r="O8" s="3"/>
      <c r="P8" s="3"/>
      <c r="Q8" s="3"/>
      <c r="R8" s="3"/>
      <c r="S8" s="3"/>
      <c r="T8" s="3"/>
      <c r="U8" s="3"/>
      <c r="V8" s="3"/>
      <c r="W8" s="3"/>
      <c r="X8" s="3"/>
      <c r="Y8" s="3"/>
      <c r="Z8" s="3"/>
      <c r="AA8" s="3"/>
      <c r="AB8" s="3"/>
    </row>
    <row r="9" spans="1:28" s="6" customFormat="1" ht="12">
      <c r="A9" s="9" t="str">
        <f>'TBLA Expense'!A11</f>
        <v>Special Ed Instructors</v>
      </c>
      <c r="B9" s="69">
        <f>'TBLA Expense'!C11+'TBLA Expense'!J11</f>
        <v>7.954695652173912</v>
      </c>
      <c r="C9" s="68">
        <f t="shared" si="0"/>
        <v>41858.51681806754</v>
      </c>
      <c r="D9" s="68">
        <f t="shared" si="1"/>
        <v>332971.7617391304</v>
      </c>
      <c r="E9" s="69">
        <f t="shared" si="2"/>
        <v>93232.09328695653</v>
      </c>
      <c r="F9" s="70">
        <f aca="true" t="shared" si="5" ref="F9:F14">D9+E9</f>
        <v>426203.85502608697</v>
      </c>
      <c r="G9" s="3"/>
      <c r="H9" s="278">
        <f>'TBLA Expense'!C11*'TBLA Expense'!C38</f>
        <v>164595.24</v>
      </c>
      <c r="I9" s="278">
        <f>'TBLA Expense'!J11*'TBLA Expense'!J38</f>
        <v>168376.52173913043</v>
      </c>
      <c r="J9" s="278">
        <f t="shared" si="4"/>
        <v>332971.7617391304</v>
      </c>
      <c r="K9" s="3"/>
      <c r="L9" s="3"/>
      <c r="M9" s="3"/>
      <c r="N9" s="3"/>
      <c r="O9" s="3"/>
      <c r="P9" s="3"/>
      <c r="Q9" s="3"/>
      <c r="R9" s="3"/>
      <c r="S9" s="3"/>
      <c r="T9" s="3"/>
      <c r="U9" s="3"/>
      <c r="V9" s="3"/>
      <c r="W9" s="3"/>
      <c r="X9" s="3"/>
      <c r="Y9" s="3"/>
      <c r="Z9" s="3"/>
      <c r="AA9" s="3"/>
      <c r="AB9" s="3"/>
    </row>
    <row r="10" spans="1:10" ht="12">
      <c r="A10" s="9" t="str">
        <f>'TBLA Expense'!A12</f>
        <v>Specials Instructors (Music, Art, Spanish, PE)</v>
      </c>
      <c r="B10" s="69">
        <f>'TBLA Expense'!C12+'TBLA Expense'!J12</f>
        <v>19.662809170108453</v>
      </c>
      <c r="C10" s="68">
        <f t="shared" si="0"/>
        <v>42727.19603872856</v>
      </c>
      <c r="D10" s="68">
        <f t="shared" si="1"/>
        <v>840136.7020833334</v>
      </c>
      <c r="E10" s="69">
        <f t="shared" si="2"/>
        <v>235238.27658333338</v>
      </c>
      <c r="F10" s="70">
        <f t="shared" si="5"/>
        <v>1075374.978666667</v>
      </c>
      <c r="G10" s="3"/>
      <c r="H10" s="278">
        <f>'TBLA Expense'!C12*'TBLA Expense'!C39</f>
        <v>226133</v>
      </c>
      <c r="I10" s="278">
        <f>'TBLA Expense'!J12*'TBLA Expense'!J39</f>
        <v>614003.7020833334</v>
      </c>
      <c r="J10" s="278">
        <f t="shared" si="4"/>
        <v>840136.7020833334</v>
      </c>
    </row>
    <row r="11" spans="1:10" ht="12">
      <c r="A11" s="9" t="str">
        <f>'TBLA Expense'!A13</f>
        <v>Library</v>
      </c>
      <c r="B11" s="69">
        <f>'TBLA Expense'!C13+'TBLA Expense'!J13</f>
        <v>0</v>
      </c>
      <c r="C11" s="68" t="e">
        <f t="shared" si="0"/>
        <v>#DIV/0!</v>
      </c>
      <c r="D11" s="68">
        <f t="shared" si="1"/>
        <v>0</v>
      </c>
      <c r="E11" s="69">
        <f t="shared" si="2"/>
        <v>0</v>
      </c>
      <c r="F11" s="70">
        <f t="shared" si="5"/>
        <v>0</v>
      </c>
      <c r="G11" s="250"/>
      <c r="H11" s="278">
        <f>'TBLA Expense'!C13*'TBLA Expense'!C40</f>
        <v>0</v>
      </c>
      <c r="I11" s="278">
        <f>'TBLA Expense'!J13*'TBLA Expense'!J40</f>
        <v>0</v>
      </c>
      <c r="J11" s="278">
        <f t="shared" si="4"/>
        <v>0</v>
      </c>
    </row>
    <row r="12" spans="1:10" ht="12">
      <c r="A12" s="9" t="str">
        <f>'TBLA Expense'!A14</f>
        <v>Reading Intervention/Resource Teacher/HA Coord/Ac. Coach</v>
      </c>
      <c r="B12" s="69">
        <f>'TBLA Expense'!C14+'TBLA Expense'!J14</f>
        <v>3</v>
      </c>
      <c r="C12" s="68">
        <f t="shared" si="0"/>
        <v>27851</v>
      </c>
      <c r="D12" s="68">
        <f t="shared" si="1"/>
        <v>83553</v>
      </c>
      <c r="E12" s="69">
        <f t="shared" si="2"/>
        <v>23394.840000000004</v>
      </c>
      <c r="F12" s="70">
        <f t="shared" si="5"/>
        <v>106947.84</v>
      </c>
      <c r="G12" s="3"/>
      <c r="H12" s="278">
        <f>'TBLA Expense'!C14*'TBLA Expense'!C41</f>
        <v>0</v>
      </c>
      <c r="I12" s="278">
        <f>'TBLA Expense'!J14*'TBLA Expense'!J41</f>
        <v>83553</v>
      </c>
      <c r="J12" s="278">
        <f t="shared" si="4"/>
        <v>83553</v>
      </c>
    </row>
    <row r="13" spans="1:10" ht="12">
      <c r="A13" s="9" t="str">
        <f>'TBLA Expense'!A15</f>
        <v>Additional Teachers (account for uneven splits)/Title I Teachers</v>
      </c>
      <c r="B13" s="69">
        <f>'TBLA Expense'!C15+'TBLA Expense'!J15</f>
        <v>5</v>
      </c>
      <c r="C13" s="68">
        <f t="shared" si="0"/>
        <v>42000</v>
      </c>
      <c r="D13" s="68">
        <f t="shared" si="1"/>
        <v>210000</v>
      </c>
      <c r="E13" s="69">
        <f t="shared" si="2"/>
        <v>58800.00000000001</v>
      </c>
      <c r="F13" s="70">
        <f t="shared" si="5"/>
        <v>268800</v>
      </c>
      <c r="G13" s="3"/>
      <c r="H13" s="278">
        <f>'TBLA Expense'!C15*'TBLA Expense'!C42</f>
        <v>80000</v>
      </c>
      <c r="I13" s="278">
        <f>'TBLA Expense'!J15*'TBLA Expense'!J42</f>
        <v>130000</v>
      </c>
      <c r="J13" s="278">
        <f t="shared" si="4"/>
        <v>210000</v>
      </c>
    </row>
    <row r="14" spans="1:10" ht="12">
      <c r="A14" s="9" t="str">
        <f>'TBLA Expense'!A16</f>
        <v>Teaching Fellows/Interns</v>
      </c>
      <c r="B14" s="69">
        <f>'TBLA Expense'!C16+'TBLA Expense'!J16</f>
        <v>0</v>
      </c>
      <c r="C14" s="68"/>
      <c r="D14" s="68">
        <f t="shared" si="1"/>
        <v>0</v>
      </c>
      <c r="E14" s="69">
        <f t="shared" si="2"/>
        <v>0</v>
      </c>
      <c r="F14" s="70">
        <f t="shared" si="5"/>
        <v>0</v>
      </c>
      <c r="G14" s="3"/>
      <c r="H14" s="278">
        <f>'TBLA Expense'!C16*'TBLA Expense'!C43</f>
        <v>0</v>
      </c>
      <c r="I14" s="278">
        <f>'TBLA Expense'!J16*'TBLA Expense'!J43</f>
        <v>0</v>
      </c>
      <c r="J14" s="278">
        <f t="shared" si="4"/>
        <v>0</v>
      </c>
    </row>
    <row r="15" spans="1:28" s="6" customFormat="1" ht="12">
      <c r="A15" s="9" t="str">
        <f>'TBLA Expense'!A17</f>
        <v>Additional Tas / Special Ed Para Professionals</v>
      </c>
      <c r="B15" s="69">
        <f>'TBLA Expense'!C17+'TBLA Expense'!J17</f>
        <v>11.572085442552538</v>
      </c>
      <c r="C15" s="68">
        <f t="shared" si="0"/>
        <v>20062.082772592352</v>
      </c>
      <c r="D15" s="68">
        <f t="shared" si="1"/>
        <v>232160.136</v>
      </c>
      <c r="E15" s="69">
        <f t="shared" si="2"/>
        <v>65004.83808000001</v>
      </c>
      <c r="F15" s="70">
        <f t="shared" si="3"/>
        <v>297164.97408</v>
      </c>
      <c r="G15" s="3"/>
      <c r="H15" s="278">
        <f>'TBLA Expense'!C17*'TBLA Expense'!C44</f>
        <v>105113.736</v>
      </c>
      <c r="I15" s="278">
        <f>'TBLA Expense'!J17*'TBLA Expense'!J44</f>
        <v>127046.40000000001</v>
      </c>
      <c r="J15" s="278">
        <f t="shared" si="4"/>
        <v>232160.136</v>
      </c>
      <c r="K15" s="3"/>
      <c r="L15" s="3"/>
      <c r="M15" s="3"/>
      <c r="N15" s="3"/>
      <c r="O15" s="3"/>
      <c r="P15" s="3"/>
      <c r="Q15" s="3"/>
      <c r="R15" s="3"/>
      <c r="S15" s="3"/>
      <c r="T15" s="3"/>
      <c r="U15" s="3"/>
      <c r="V15" s="3"/>
      <c r="W15" s="3"/>
      <c r="X15" s="3"/>
      <c r="Y15" s="3"/>
      <c r="Z15" s="3"/>
      <c r="AA15" s="3"/>
      <c r="AB15" s="3"/>
    </row>
    <row r="16" spans="1:10" ht="12">
      <c r="A16" s="9" t="str">
        <f>'TBLA Expense'!A18</f>
        <v>Enrollment Coordinator</v>
      </c>
      <c r="B16" s="69">
        <f>'TBLA Expense'!C18+'TBLA Expense'!J18</f>
        <v>0</v>
      </c>
      <c r="C16" s="68"/>
      <c r="D16" s="68">
        <f t="shared" si="1"/>
        <v>0</v>
      </c>
      <c r="E16" s="69">
        <f t="shared" si="2"/>
        <v>0</v>
      </c>
      <c r="F16" s="70">
        <f t="shared" si="3"/>
        <v>0</v>
      </c>
      <c r="G16" s="3"/>
      <c r="H16" s="278">
        <f>'TBLA Expense'!C18*'TBLA Expense'!C45</f>
        <v>0</v>
      </c>
      <c r="I16" s="278">
        <f>'TBLA Expense'!J18*'TBLA Expense'!J45</f>
        <v>0</v>
      </c>
      <c r="J16" s="278">
        <f t="shared" si="4"/>
        <v>0</v>
      </c>
    </row>
    <row r="17" spans="1:10" ht="12">
      <c r="A17" s="9" t="str">
        <f>'TBLA Expense'!A19</f>
        <v>Principals</v>
      </c>
      <c r="B17" s="69">
        <f>'TBLA Expense'!C19+'TBLA Expense'!J19</f>
        <v>2</v>
      </c>
      <c r="C17" s="68">
        <f t="shared" si="0"/>
        <v>91500</v>
      </c>
      <c r="D17" s="68">
        <f t="shared" si="1"/>
        <v>183000</v>
      </c>
      <c r="E17" s="69">
        <f t="shared" si="2"/>
        <v>51240.00000000001</v>
      </c>
      <c r="F17" s="70">
        <f t="shared" si="3"/>
        <v>234240</v>
      </c>
      <c r="G17" s="3"/>
      <c r="H17" s="278">
        <f>'TBLA Expense'!C19*'TBLA Expense'!C46</f>
        <v>85000</v>
      </c>
      <c r="I17" s="278">
        <f>'TBLA Expense'!J19*'TBLA Expense'!J46</f>
        <v>98000</v>
      </c>
      <c r="J17" s="278">
        <f t="shared" si="4"/>
        <v>183000</v>
      </c>
    </row>
    <row r="18" spans="1:10" ht="12">
      <c r="A18" s="9" t="str">
        <f>'TBLA Expense'!A20</f>
        <v>Assistant Principals/Instructional Coaches</v>
      </c>
      <c r="B18" s="69">
        <f>'TBLA Expense'!C20+'TBLA Expense'!J20</f>
        <v>4</v>
      </c>
      <c r="C18" s="68">
        <f t="shared" si="0"/>
        <v>54905</v>
      </c>
      <c r="D18" s="68">
        <f t="shared" si="1"/>
        <v>219620</v>
      </c>
      <c r="E18" s="69">
        <f t="shared" si="2"/>
        <v>61493.600000000006</v>
      </c>
      <c r="F18" s="70">
        <f t="shared" si="3"/>
        <v>281113.6</v>
      </c>
      <c r="G18" s="3"/>
      <c r="H18" s="278">
        <f>'TBLA Expense'!C20*'TBLA Expense'!C47</f>
        <v>84620</v>
      </c>
      <c r="I18" s="278">
        <f>'TBLA Expense'!J20*'TBLA Expense'!J47</f>
        <v>135000</v>
      </c>
      <c r="J18" s="278">
        <f t="shared" si="4"/>
        <v>219620</v>
      </c>
    </row>
    <row r="19" spans="1:10" ht="12">
      <c r="A19" s="9" t="str">
        <f>'TBLA Expense'!A21</f>
        <v>Director of Operations</v>
      </c>
      <c r="B19" s="69">
        <f>'TBLA Expense'!C21+'TBLA Expense'!J21</f>
        <v>0</v>
      </c>
      <c r="C19" s="68"/>
      <c r="D19" s="68">
        <f t="shared" si="1"/>
        <v>0</v>
      </c>
      <c r="E19" s="69">
        <f t="shared" si="2"/>
        <v>0</v>
      </c>
      <c r="F19" s="70">
        <f t="shared" si="3"/>
        <v>0</v>
      </c>
      <c r="G19" s="3"/>
      <c r="H19" s="278">
        <f>'TBLA Expense'!C21*'TBLA Expense'!C48</f>
        <v>0</v>
      </c>
      <c r="I19" s="278">
        <f>'TBLA Expense'!J21*'TBLA Expense'!J48</f>
        <v>0</v>
      </c>
      <c r="J19" s="278">
        <f t="shared" si="4"/>
        <v>0</v>
      </c>
    </row>
    <row r="20" spans="1:10" ht="12">
      <c r="A20" s="9" t="str">
        <f>'TBLA Expense'!A22</f>
        <v>Custodial</v>
      </c>
      <c r="B20" s="69">
        <f>'TBLA Expense'!C22+'TBLA Expense'!J22</f>
        <v>13</v>
      </c>
      <c r="C20" s="68">
        <f t="shared" si="0"/>
        <v>27143.384615384617</v>
      </c>
      <c r="D20" s="68">
        <f t="shared" si="1"/>
        <v>352864</v>
      </c>
      <c r="E20" s="69">
        <f t="shared" si="2"/>
        <v>98801.92000000001</v>
      </c>
      <c r="F20" s="70">
        <f t="shared" si="3"/>
        <v>451665.92000000004</v>
      </c>
      <c r="G20" s="3"/>
      <c r="H20" s="278">
        <f>'TBLA Expense'!C22*'TBLA Expense'!C49</f>
        <v>159333.6</v>
      </c>
      <c r="I20" s="278">
        <f>'TBLA Expense'!J22*'TBLA Expense'!J49</f>
        <v>193530.4</v>
      </c>
      <c r="J20" s="278">
        <f t="shared" si="4"/>
        <v>352864</v>
      </c>
    </row>
    <row r="21" spans="1:10" ht="12">
      <c r="A21" s="9" t="str">
        <f>'TBLA Expense'!A23</f>
        <v>Administrative/Clerical Staff</v>
      </c>
      <c r="B21" s="69">
        <f>'TBLA Expense'!C23+'TBLA Expense'!J23</f>
        <v>5</v>
      </c>
      <c r="C21" s="68">
        <f t="shared" si="0"/>
        <v>41737.976</v>
      </c>
      <c r="D21" s="68">
        <f t="shared" si="1"/>
        <v>208689.88</v>
      </c>
      <c r="E21" s="69">
        <f t="shared" si="2"/>
        <v>58433.16640000001</v>
      </c>
      <c r="F21" s="70">
        <f t="shared" si="3"/>
        <v>267123.0464</v>
      </c>
      <c r="G21" s="3"/>
      <c r="H21" s="278">
        <f>'TBLA Expense'!C23*'TBLA Expense'!C50</f>
        <v>93958</v>
      </c>
      <c r="I21" s="278">
        <f>'TBLA Expense'!J23*'TBLA Expense'!J50</f>
        <v>114731.88</v>
      </c>
      <c r="J21" s="278">
        <f t="shared" si="4"/>
        <v>208689.88</v>
      </c>
    </row>
    <row r="22" spans="1:10" ht="12">
      <c r="A22" s="9" t="str">
        <f>'TBLA Expense'!A24</f>
        <v>Other student services staff (Social Worker/Counselor)</v>
      </c>
      <c r="B22" s="69">
        <f>'TBLA Expense'!C24+'TBLA Expense'!J24</f>
        <v>6.221643171087212</v>
      </c>
      <c r="C22" s="68">
        <f t="shared" si="0"/>
        <v>35781.88331895246</v>
      </c>
      <c r="D22" s="68">
        <f t="shared" si="1"/>
        <v>222622.11</v>
      </c>
      <c r="E22" s="69">
        <f t="shared" si="2"/>
        <v>62334.190800000004</v>
      </c>
      <c r="F22" s="70">
        <f t="shared" si="3"/>
        <v>284956.30079999997</v>
      </c>
      <c r="G22" s="3"/>
      <c r="H22" s="278">
        <f>'TBLA Expense'!C24*'TBLA Expense'!C51</f>
        <v>35083</v>
      </c>
      <c r="I22" s="278">
        <f>'TBLA Expense'!J24*'TBLA Expense'!J51</f>
        <v>187539.11</v>
      </c>
      <c r="J22" s="278">
        <f t="shared" si="4"/>
        <v>222622.11</v>
      </c>
    </row>
    <row r="23" spans="1:28" s="6" customFormat="1" ht="12">
      <c r="A23" s="9" t="str">
        <f>'TBLA Expense'!A25</f>
        <v>Behavioral Coordinator/Non-Instructional Aide</v>
      </c>
      <c r="B23" s="69">
        <f>'TBLA Expense'!C25+'TBLA Expense'!J25</f>
        <v>5</v>
      </c>
      <c r="C23" s="68">
        <f t="shared" si="0"/>
        <v>23026.346</v>
      </c>
      <c r="D23" s="68">
        <f t="shared" si="1"/>
        <v>115131.73000000001</v>
      </c>
      <c r="E23" s="69">
        <f t="shared" si="2"/>
        <v>32236.884400000006</v>
      </c>
      <c r="F23" s="70">
        <f>D23+E23</f>
        <v>147368.61440000002</v>
      </c>
      <c r="G23" s="3"/>
      <c r="H23" s="278">
        <f>'TBLA Expense'!C25*'TBLA Expense'!C52</f>
        <v>48450</v>
      </c>
      <c r="I23" s="278">
        <f>'TBLA Expense'!J25*'TBLA Expense'!J52</f>
        <v>66681.73000000001</v>
      </c>
      <c r="J23" s="278">
        <f t="shared" si="4"/>
        <v>115131.73000000001</v>
      </c>
      <c r="K23" s="3"/>
      <c r="L23" s="3"/>
      <c r="M23" s="3"/>
      <c r="N23" s="3"/>
      <c r="O23" s="3"/>
      <c r="P23" s="3"/>
      <c r="Q23" s="3"/>
      <c r="R23" s="3"/>
      <c r="S23" s="3"/>
      <c r="T23" s="3"/>
      <c r="U23" s="3"/>
      <c r="V23" s="3"/>
      <c r="W23" s="3"/>
      <c r="X23" s="3"/>
      <c r="Y23" s="3"/>
      <c r="Z23" s="3"/>
      <c r="AA23" s="3"/>
      <c r="AB23" s="3"/>
    </row>
    <row r="24" spans="1:10" ht="12">
      <c r="A24" s="9" t="str">
        <f>'TBLA Expense'!A26</f>
        <v>Nurse</v>
      </c>
      <c r="B24" s="69">
        <f>'TBLA Expense'!C26+'TBLA Expense'!J26</f>
        <v>1</v>
      </c>
      <c r="C24" s="68">
        <f t="shared" si="0"/>
        <v>49250</v>
      </c>
      <c r="D24" s="68">
        <f t="shared" si="1"/>
        <v>49250</v>
      </c>
      <c r="E24" s="69">
        <f t="shared" si="2"/>
        <v>13790.000000000002</v>
      </c>
      <c r="F24" s="70">
        <f>D24+E24</f>
        <v>63040</v>
      </c>
      <c r="G24" s="3"/>
      <c r="H24" s="278">
        <f>'TBLA Expense'!C26*'TBLA Expense'!C53</f>
        <v>49250</v>
      </c>
      <c r="I24" s="278">
        <f>'TBLA Expense'!J26*'TBLA Expense'!J53</f>
        <v>0</v>
      </c>
      <c r="J24" s="278">
        <f t="shared" si="4"/>
        <v>49250</v>
      </c>
    </row>
    <row r="25" spans="1:10" ht="12">
      <c r="A25" s="9" t="str">
        <f>'TBLA Expense'!A27</f>
        <v>Dean of Scholars</v>
      </c>
      <c r="B25" s="69">
        <f>'TBLA Expense'!C27+'TBLA Expense'!J27</f>
        <v>3.2382980281754614</v>
      </c>
      <c r="C25" s="68">
        <f t="shared" si="0"/>
        <v>44704.45855830169</v>
      </c>
      <c r="D25" s="68">
        <f t="shared" si="1"/>
        <v>144766.36</v>
      </c>
      <c r="E25" s="69">
        <f t="shared" si="2"/>
        <v>40534.5808</v>
      </c>
      <c r="F25" s="70">
        <f>D25+E25</f>
        <v>185300.94079999998</v>
      </c>
      <c r="G25" s="3"/>
      <c r="H25" s="278">
        <f>'TBLA Expense'!C27*'TBLA Expense'!C54</f>
        <v>46974</v>
      </c>
      <c r="I25" s="278">
        <f>'TBLA Expense'!J27*'TBLA Expense'!J54</f>
        <v>97792.36</v>
      </c>
      <c r="J25" s="278">
        <f t="shared" si="4"/>
        <v>144766.36</v>
      </c>
    </row>
    <row r="26" spans="1:10" ht="12">
      <c r="A26" s="9" t="str">
        <f>'TBLA Expense'!A28</f>
        <v>Director of Special Education</v>
      </c>
      <c r="B26" s="69">
        <f>'TBLA Expense'!C28+'TBLA Expense'!J28</f>
        <v>0</v>
      </c>
      <c r="C26" s="68"/>
      <c r="D26" s="68">
        <f t="shared" si="1"/>
        <v>0</v>
      </c>
      <c r="E26" s="69">
        <f t="shared" si="2"/>
        <v>0</v>
      </c>
      <c r="F26" s="70">
        <f>D26+E26</f>
        <v>0</v>
      </c>
      <c r="H26" s="278">
        <f>'TBLA Expense'!C28*'TBLA Expense'!C55</f>
        <v>0</v>
      </c>
      <c r="I26" s="278">
        <f>'TBLA Expense'!J28*'TBLA Expense'!J55</f>
        <v>0</v>
      </c>
      <c r="J26" s="278">
        <f t="shared" si="4"/>
        <v>0</v>
      </c>
    </row>
    <row r="27" spans="1:10" ht="12">
      <c r="A27" s="9"/>
      <c r="B27" s="69"/>
      <c r="C27" s="68"/>
      <c r="D27" s="69">
        <f aca="true" t="shared" si="6" ref="D27:D46">B27*C27</f>
        <v>0</v>
      </c>
      <c r="E27" s="69">
        <f t="shared" si="2"/>
        <v>0</v>
      </c>
      <c r="F27" s="70">
        <f>D27+E27</f>
        <v>0</v>
      </c>
      <c r="H27" s="99"/>
      <c r="I27" s="99"/>
      <c r="J27" s="99"/>
    </row>
    <row r="28" spans="1:6" ht="12">
      <c r="A28" s="9"/>
      <c r="B28" s="69"/>
      <c r="C28" s="68"/>
      <c r="D28" s="69">
        <f t="shared" si="6"/>
        <v>0</v>
      </c>
      <c r="E28" s="69">
        <f t="shared" si="2"/>
        <v>0</v>
      </c>
      <c r="F28" s="70">
        <f t="shared" si="3"/>
        <v>0</v>
      </c>
    </row>
    <row r="29" spans="1:6" ht="12">
      <c r="A29" s="9"/>
      <c r="B29" s="55"/>
      <c r="C29" s="97"/>
      <c r="D29" s="69">
        <f t="shared" si="6"/>
        <v>0</v>
      </c>
      <c r="E29" s="69">
        <f t="shared" si="2"/>
        <v>0</v>
      </c>
      <c r="F29" s="70">
        <f t="shared" si="3"/>
        <v>0</v>
      </c>
    </row>
    <row r="30" spans="1:6" ht="12">
      <c r="A30" s="9"/>
      <c r="B30" s="55"/>
      <c r="C30" s="97"/>
      <c r="D30" s="69">
        <f t="shared" si="6"/>
        <v>0</v>
      </c>
      <c r="E30" s="69">
        <f t="shared" si="2"/>
        <v>0</v>
      </c>
      <c r="F30" s="70">
        <f t="shared" si="3"/>
        <v>0</v>
      </c>
    </row>
    <row r="31" spans="1:6" ht="12">
      <c r="A31" s="9"/>
      <c r="B31" s="55"/>
      <c r="C31" s="97"/>
      <c r="D31" s="69">
        <f t="shared" si="6"/>
        <v>0</v>
      </c>
      <c r="E31" s="69">
        <f t="shared" si="2"/>
        <v>0</v>
      </c>
      <c r="F31" s="70">
        <f t="shared" si="3"/>
        <v>0</v>
      </c>
    </row>
    <row r="32" spans="1:6" ht="12">
      <c r="A32" s="9"/>
      <c r="B32" s="55"/>
      <c r="C32" s="97"/>
      <c r="D32" s="69">
        <f t="shared" si="6"/>
        <v>0</v>
      </c>
      <c r="E32" s="69">
        <f t="shared" si="2"/>
        <v>0</v>
      </c>
      <c r="F32" s="70">
        <f t="shared" si="3"/>
        <v>0</v>
      </c>
    </row>
    <row r="33" spans="1:6" ht="12">
      <c r="A33" s="9"/>
      <c r="B33" s="55"/>
      <c r="C33" s="97"/>
      <c r="D33" s="69">
        <f t="shared" si="6"/>
        <v>0</v>
      </c>
      <c r="E33" s="69">
        <f t="shared" si="2"/>
        <v>0</v>
      </c>
      <c r="F33" s="70">
        <f t="shared" si="3"/>
        <v>0</v>
      </c>
    </row>
    <row r="34" spans="1:6" ht="12">
      <c r="A34" s="9"/>
      <c r="B34" s="55"/>
      <c r="C34" s="97"/>
      <c r="D34" s="69">
        <f t="shared" si="6"/>
        <v>0</v>
      </c>
      <c r="E34" s="69">
        <f t="shared" si="2"/>
        <v>0</v>
      </c>
      <c r="F34" s="70">
        <f t="shared" si="3"/>
        <v>0</v>
      </c>
    </row>
    <row r="35" spans="1:6" ht="12">
      <c r="A35" s="9"/>
      <c r="B35" s="55"/>
      <c r="C35" s="97"/>
      <c r="D35" s="69">
        <f t="shared" si="6"/>
        <v>0</v>
      </c>
      <c r="E35" s="69">
        <f t="shared" si="2"/>
        <v>0</v>
      </c>
      <c r="F35" s="70">
        <f t="shared" si="3"/>
        <v>0</v>
      </c>
    </row>
    <row r="36" spans="1:6" ht="12">
      <c r="A36" s="9"/>
      <c r="B36" s="55"/>
      <c r="C36" s="97"/>
      <c r="D36" s="69">
        <f t="shared" si="6"/>
        <v>0</v>
      </c>
      <c r="E36" s="69">
        <f t="shared" si="2"/>
        <v>0</v>
      </c>
      <c r="F36" s="70">
        <f t="shared" si="3"/>
        <v>0</v>
      </c>
    </row>
    <row r="37" spans="1:6" ht="12">
      <c r="A37" s="9"/>
      <c r="B37" s="55"/>
      <c r="C37" s="97"/>
      <c r="D37" s="69">
        <f t="shared" si="6"/>
        <v>0</v>
      </c>
      <c r="E37" s="69">
        <f t="shared" si="2"/>
        <v>0</v>
      </c>
      <c r="F37" s="70">
        <f t="shared" si="3"/>
        <v>0</v>
      </c>
    </row>
    <row r="38" spans="1:6" ht="12">
      <c r="A38" s="9"/>
      <c r="B38" s="55"/>
      <c r="C38" s="97"/>
      <c r="D38" s="69">
        <f t="shared" si="6"/>
        <v>0</v>
      </c>
      <c r="E38" s="69">
        <f t="shared" si="2"/>
        <v>0</v>
      </c>
      <c r="F38" s="70">
        <f t="shared" si="3"/>
        <v>0</v>
      </c>
    </row>
    <row r="39" spans="1:6" ht="12">
      <c r="A39" s="55"/>
      <c r="B39" s="55"/>
      <c r="C39" s="97"/>
      <c r="D39" s="69">
        <f t="shared" si="6"/>
        <v>0</v>
      </c>
      <c r="E39" s="69">
        <f t="shared" si="2"/>
        <v>0</v>
      </c>
      <c r="F39" s="70">
        <f t="shared" si="3"/>
        <v>0</v>
      </c>
    </row>
    <row r="40" spans="1:6" ht="12">
      <c r="A40" s="55"/>
      <c r="B40" s="55"/>
      <c r="C40" s="97"/>
      <c r="D40" s="69">
        <f t="shared" si="6"/>
        <v>0</v>
      </c>
      <c r="E40" s="69">
        <f t="shared" si="2"/>
        <v>0</v>
      </c>
      <c r="F40" s="70">
        <f t="shared" si="3"/>
        <v>0</v>
      </c>
    </row>
    <row r="41" spans="1:6" ht="12">
      <c r="A41" s="55"/>
      <c r="B41" s="55"/>
      <c r="C41" s="97"/>
      <c r="D41" s="69">
        <f t="shared" si="6"/>
        <v>0</v>
      </c>
      <c r="E41" s="69">
        <f t="shared" si="2"/>
        <v>0</v>
      </c>
      <c r="F41" s="70">
        <f t="shared" si="3"/>
        <v>0</v>
      </c>
    </row>
    <row r="42" spans="1:6" ht="12">
      <c r="A42" s="100"/>
      <c r="B42" s="100"/>
      <c r="C42" s="101"/>
      <c r="D42" s="69">
        <f t="shared" si="6"/>
        <v>0</v>
      </c>
      <c r="E42" s="69">
        <f t="shared" si="2"/>
        <v>0</v>
      </c>
      <c r="F42" s="70">
        <f t="shared" si="3"/>
        <v>0</v>
      </c>
    </row>
    <row r="43" spans="1:6" ht="12">
      <c r="A43" s="100"/>
      <c r="B43" s="100"/>
      <c r="C43" s="101"/>
      <c r="D43" s="69">
        <f t="shared" si="6"/>
        <v>0</v>
      </c>
      <c r="E43" s="69">
        <f t="shared" si="2"/>
        <v>0</v>
      </c>
      <c r="F43" s="70">
        <f t="shared" si="3"/>
        <v>0</v>
      </c>
    </row>
    <row r="44" spans="1:6" ht="12">
      <c r="A44" s="100"/>
      <c r="B44" s="100"/>
      <c r="C44" s="101"/>
      <c r="D44" s="69">
        <f t="shared" si="6"/>
        <v>0</v>
      </c>
      <c r="E44" s="69">
        <f t="shared" si="2"/>
        <v>0</v>
      </c>
      <c r="F44" s="70">
        <f t="shared" si="3"/>
        <v>0</v>
      </c>
    </row>
    <row r="45" spans="1:6" ht="12">
      <c r="A45" s="100"/>
      <c r="B45" s="100"/>
      <c r="C45" s="101"/>
      <c r="D45" s="69">
        <f t="shared" si="6"/>
        <v>0</v>
      </c>
      <c r="E45" s="69">
        <f t="shared" si="2"/>
        <v>0</v>
      </c>
      <c r="F45" s="70">
        <f t="shared" si="3"/>
        <v>0</v>
      </c>
    </row>
    <row r="46" spans="1:6" ht="12.75" thickBot="1">
      <c r="A46" s="100"/>
      <c r="B46" s="100"/>
      <c r="C46" s="101"/>
      <c r="D46" s="69">
        <f t="shared" si="6"/>
        <v>0</v>
      </c>
      <c r="E46" s="69">
        <f t="shared" si="2"/>
        <v>0</v>
      </c>
      <c r="F46" s="70">
        <f t="shared" si="3"/>
        <v>0</v>
      </c>
    </row>
    <row r="47" spans="1:6" ht="12.75" thickBot="1">
      <c r="A47" s="8" t="s">
        <v>40</v>
      </c>
      <c r="B47" s="274">
        <f>SUM(B7:B46)</f>
        <v>159.03700159109488</v>
      </c>
      <c r="C47" s="103"/>
      <c r="D47" s="104">
        <f>SUM(D7:D46)</f>
        <v>5805928.125159208</v>
      </c>
      <c r="E47" s="104">
        <f>SUM(E7:E46)</f>
        <v>1625659.875044578</v>
      </c>
      <c r="F47" s="105">
        <f>SUM(F7:F46)</f>
        <v>7431588.000203785</v>
      </c>
    </row>
    <row r="48" spans="4:5" ht="12">
      <c r="D48" s="249">
        <f>'Combined '!C36</f>
        <v>5805928.125159208</v>
      </c>
      <c r="E48" s="249">
        <f>'Combined '!C38-E47</f>
        <v>0</v>
      </c>
    </row>
    <row r="49" ht="12">
      <c r="D49" s="249">
        <f>D47-D48</f>
        <v>0</v>
      </c>
    </row>
    <row r="60" spans="6:29" ht="12">
      <c r="F60" s="48"/>
      <c r="G60" s="48"/>
      <c r="H60" s="48"/>
      <c r="I60" s="48"/>
      <c r="J60" s="48"/>
      <c r="K60" s="48"/>
      <c r="L60" s="48"/>
      <c r="M60" s="48"/>
      <c r="N60" s="48"/>
      <c r="O60" s="48"/>
      <c r="P60" s="48"/>
      <c r="Q60" s="48"/>
      <c r="R60" s="48"/>
      <c r="S60" s="48"/>
      <c r="T60" s="48"/>
      <c r="U60" s="48"/>
      <c r="V60" s="48"/>
      <c r="W60" s="48"/>
      <c r="X60" s="48"/>
      <c r="Y60" s="48"/>
      <c r="Z60" s="48"/>
      <c r="AA60" s="48"/>
      <c r="AB60" s="48"/>
      <c r="AC60" s="48"/>
    </row>
  </sheetData>
  <sheetProtection/>
  <mergeCells count="4">
    <mergeCell ref="A1:F1"/>
    <mergeCell ref="A2:F2"/>
    <mergeCell ref="A4:F4"/>
    <mergeCell ref="A5:F5"/>
  </mergeCells>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sheetPr>
    <tabColor theme="3"/>
  </sheetPr>
  <dimension ref="A1:F143"/>
  <sheetViews>
    <sheetView workbookViewId="0" topLeftCell="A1">
      <selection activeCell="A1" sqref="A1"/>
    </sheetView>
  </sheetViews>
  <sheetFormatPr defaultColWidth="11.57421875" defaultRowHeight="15"/>
  <cols>
    <col min="1" max="1" width="44.7109375" style="48" customWidth="1"/>
    <col min="2" max="2" width="16.421875" style="119" customWidth="1"/>
    <col min="3" max="3" width="12.421875" style="206" customWidth="1"/>
    <col min="4" max="4" width="38.00390625" style="93" customWidth="1"/>
    <col min="5" max="5" width="2.421875" style="48" customWidth="1"/>
    <col min="6" max="6" width="32.8515625" style="49" bestFit="1" customWidth="1"/>
    <col min="7" max="16384" width="11.421875" style="48" customWidth="1"/>
  </cols>
  <sheetData>
    <row r="1" spans="1:2" ht="12">
      <c r="A1" s="120" t="str">
        <f>'YEAR 1'!A1</f>
        <v>Enrollment</v>
      </c>
      <c r="B1" s="119">
        <f>'Combined '!D2</f>
        <v>1298</v>
      </c>
    </row>
    <row r="2" ht="12.75" thickBot="1"/>
    <row r="3" spans="1:4" ht="12.75" customHeight="1">
      <c r="A3" s="298" t="s">
        <v>116</v>
      </c>
      <c r="B3" s="299"/>
      <c r="C3" s="299"/>
      <c r="D3" s="300"/>
    </row>
    <row r="4" spans="1:6" s="11" customFormat="1" ht="12">
      <c r="A4" s="10" t="s">
        <v>0</v>
      </c>
      <c r="B4" s="106" t="s">
        <v>1</v>
      </c>
      <c r="C4" s="208" t="s">
        <v>227</v>
      </c>
      <c r="D4" s="10" t="s">
        <v>89</v>
      </c>
      <c r="E4" s="22"/>
      <c r="F4" s="39"/>
    </row>
    <row r="5" spans="1:6" s="11" customFormat="1" ht="12">
      <c r="A5" s="122" t="s">
        <v>90</v>
      </c>
      <c r="B5" s="107"/>
      <c r="C5" s="209"/>
      <c r="D5" s="44"/>
      <c r="F5" s="40"/>
    </row>
    <row r="6" spans="1:6" s="45" customFormat="1" ht="12">
      <c r="A6" s="24" t="s">
        <v>93</v>
      </c>
      <c r="B6" s="108">
        <f>'Combined '!D6</f>
        <v>8796369.291598022</v>
      </c>
      <c r="C6" s="210">
        <f>B6/$B$1</f>
        <v>6776.863861015425</v>
      </c>
      <c r="D6" s="290" t="s">
        <v>282</v>
      </c>
      <c r="F6" s="46"/>
    </row>
    <row r="7" spans="1:5" ht="12">
      <c r="A7" s="23" t="s">
        <v>94</v>
      </c>
      <c r="B7" s="108">
        <f>'YEAR 1'!B7</f>
        <v>0</v>
      </c>
      <c r="C7" s="210">
        <f aca="true" t="shared" si="0" ref="C7:C17">B7/$B$1</f>
        <v>0</v>
      </c>
      <c r="D7" s="41" t="s">
        <v>5</v>
      </c>
      <c r="E7" s="50"/>
    </row>
    <row r="8" spans="1:5" ht="12">
      <c r="A8" s="23" t="s">
        <v>74</v>
      </c>
      <c r="B8" s="108">
        <f>'YEAR 1'!B8</f>
        <v>0</v>
      </c>
      <c r="C8" s="210">
        <f t="shared" si="0"/>
        <v>0</v>
      </c>
      <c r="D8" s="41"/>
      <c r="E8" s="50"/>
    </row>
    <row r="9" spans="1:5" ht="12">
      <c r="A9" s="23" t="s">
        <v>149</v>
      </c>
      <c r="B9" s="108">
        <f>'YEAR 1'!B9</f>
        <v>0</v>
      </c>
      <c r="C9" s="210">
        <f t="shared" si="0"/>
        <v>0</v>
      </c>
      <c r="D9" s="41"/>
      <c r="E9" s="50"/>
    </row>
    <row r="10" spans="1:5" ht="12">
      <c r="A10" s="23" t="s">
        <v>95</v>
      </c>
      <c r="B10" s="108">
        <f>'YEAR 1'!B10</f>
        <v>0</v>
      </c>
      <c r="C10" s="210">
        <f t="shared" si="0"/>
        <v>0</v>
      </c>
      <c r="D10" s="41"/>
      <c r="E10" s="50"/>
    </row>
    <row r="11" spans="1:5" ht="12">
      <c r="A11" s="23" t="s">
        <v>96</v>
      </c>
      <c r="B11" s="108">
        <f>'YEAR 1'!B11</f>
        <v>0</v>
      </c>
      <c r="C11" s="210">
        <f t="shared" si="0"/>
        <v>0</v>
      </c>
      <c r="D11" s="41"/>
      <c r="E11" s="50"/>
    </row>
    <row r="12" spans="1:5" ht="12">
      <c r="A12" s="23" t="s">
        <v>97</v>
      </c>
      <c r="B12" s="108">
        <f>'Combined '!D12</f>
        <v>64966</v>
      </c>
      <c r="C12" s="210">
        <f t="shared" si="0"/>
        <v>50.05084745762712</v>
      </c>
      <c r="D12" s="290" t="s">
        <v>282</v>
      </c>
      <c r="E12" s="50"/>
    </row>
    <row r="13" spans="1:5" ht="12">
      <c r="A13" s="23" t="s">
        <v>98</v>
      </c>
      <c r="B13" s="108">
        <f>'YEAR 1'!B13</f>
        <v>0</v>
      </c>
      <c r="C13" s="210">
        <f t="shared" si="0"/>
        <v>0</v>
      </c>
      <c r="D13" s="41"/>
      <c r="E13" s="50"/>
    </row>
    <row r="14" spans="1:5" ht="12">
      <c r="A14" s="23" t="s">
        <v>165</v>
      </c>
      <c r="B14" s="108">
        <f>'Combined '!D13</f>
        <v>646035.4200988468</v>
      </c>
      <c r="C14" s="210">
        <f t="shared" si="0"/>
        <v>497.7160401377864</v>
      </c>
      <c r="D14" s="290" t="s">
        <v>282</v>
      </c>
      <c r="E14" s="50"/>
    </row>
    <row r="15" spans="1:5" ht="12">
      <c r="A15" s="23" t="s">
        <v>166</v>
      </c>
      <c r="B15" s="108">
        <f>'YEAR 1'!B15</f>
        <v>0</v>
      </c>
      <c r="C15" s="210">
        <f t="shared" si="0"/>
        <v>0</v>
      </c>
      <c r="D15" s="95"/>
      <c r="E15" s="50"/>
    </row>
    <row r="16" spans="1:5" ht="12">
      <c r="A16" s="23" t="s">
        <v>104</v>
      </c>
      <c r="B16" s="108">
        <f>'YEAR 1'!B16</f>
        <v>0</v>
      </c>
      <c r="C16" s="210">
        <f t="shared" si="0"/>
        <v>0</v>
      </c>
      <c r="D16" s="41"/>
      <c r="E16" s="50"/>
    </row>
    <row r="17" spans="1:5" ht="12">
      <c r="A17" s="23" t="s">
        <v>104</v>
      </c>
      <c r="B17" s="108">
        <f>'YEAR 1'!B17</f>
        <v>0</v>
      </c>
      <c r="C17" s="210">
        <f t="shared" si="0"/>
        <v>0</v>
      </c>
      <c r="D17" s="41"/>
      <c r="E17" s="50"/>
    </row>
    <row r="18" spans="1:5" ht="12">
      <c r="A18" s="15" t="s">
        <v>42</v>
      </c>
      <c r="B18" s="110"/>
      <c r="C18" s="211"/>
      <c r="D18" s="73"/>
      <c r="E18" s="50"/>
    </row>
    <row r="19" spans="1:5" ht="12">
      <c r="A19" s="23" t="s">
        <v>112</v>
      </c>
      <c r="B19" s="108">
        <f>'YEAR 1'!B19</f>
        <v>0</v>
      </c>
      <c r="C19" s="210">
        <f aca="true" t="shared" si="1" ref="C19:C35">B19/$B$1</f>
        <v>0</v>
      </c>
      <c r="D19" s="188"/>
      <c r="E19" s="143"/>
    </row>
    <row r="20" spans="1:5" ht="12">
      <c r="A20" s="23" t="s">
        <v>150</v>
      </c>
      <c r="B20" s="108">
        <f>'Combined '!D8</f>
        <v>312652.53871499177</v>
      </c>
      <c r="C20" s="210">
        <f t="shared" si="1"/>
        <v>240.87252597456992</v>
      </c>
      <c r="D20" s="290" t="s">
        <v>282</v>
      </c>
      <c r="E20" s="143"/>
    </row>
    <row r="21" spans="1:6" ht="12">
      <c r="A21" s="24" t="s">
        <v>2</v>
      </c>
      <c r="B21" s="108">
        <f>'Combined '!D9</f>
        <v>1648164.410214168</v>
      </c>
      <c r="C21" s="210">
        <f t="shared" si="1"/>
        <v>1269.7722728922713</v>
      </c>
      <c r="D21" s="290" t="s">
        <v>282</v>
      </c>
      <c r="E21" s="59"/>
      <c r="F21" s="74"/>
    </row>
    <row r="22" spans="1:5" ht="12">
      <c r="A22" s="24" t="s">
        <v>3</v>
      </c>
      <c r="B22" s="108">
        <f>'Combined '!D10</f>
        <v>397570.1466227347</v>
      </c>
      <c r="C22" s="210">
        <f t="shared" si="1"/>
        <v>306.294411881922</v>
      </c>
      <c r="D22" s="290" t="s">
        <v>282</v>
      </c>
      <c r="E22" s="59"/>
    </row>
    <row r="23" spans="1:5" ht="12">
      <c r="A23" s="23" t="s">
        <v>91</v>
      </c>
      <c r="B23" s="108">
        <f>'Combined '!D7*0.65</f>
        <v>454642.33937397035</v>
      </c>
      <c r="C23" s="210">
        <f t="shared" si="1"/>
        <v>350.2637437395765</v>
      </c>
      <c r="D23" s="290" t="s">
        <v>282</v>
      </c>
      <c r="E23" s="59"/>
    </row>
    <row r="24" spans="1:5" ht="12">
      <c r="A24" s="23" t="s">
        <v>92</v>
      </c>
      <c r="B24" s="108">
        <f>'Combined '!D7*0.35</f>
        <v>244807.41350906092</v>
      </c>
      <c r="C24" s="210">
        <f t="shared" si="1"/>
        <v>188.6035543213104</v>
      </c>
      <c r="D24" s="290" t="s">
        <v>282</v>
      </c>
      <c r="E24" s="59"/>
    </row>
    <row r="25" spans="1:5" ht="12">
      <c r="A25" s="14" t="s">
        <v>41</v>
      </c>
      <c r="B25" s="108">
        <f>'YEAR 1'!B25</f>
        <v>0</v>
      </c>
      <c r="C25" s="210">
        <f t="shared" si="1"/>
        <v>0</v>
      </c>
      <c r="D25" s="52"/>
      <c r="E25" s="59"/>
    </row>
    <row r="26" spans="1:5" ht="12">
      <c r="A26" s="14" t="s">
        <v>41</v>
      </c>
      <c r="B26" s="108">
        <f>'YEAR 1'!B26</f>
        <v>0</v>
      </c>
      <c r="C26" s="210">
        <f t="shared" si="1"/>
        <v>0</v>
      </c>
      <c r="D26" s="52"/>
      <c r="E26" s="59"/>
    </row>
    <row r="27" spans="1:5" ht="12">
      <c r="A27" s="15" t="s">
        <v>43</v>
      </c>
      <c r="B27" s="110"/>
      <c r="C27" s="210">
        <f t="shared" si="1"/>
        <v>0</v>
      </c>
      <c r="D27" s="43"/>
      <c r="E27" s="50"/>
    </row>
    <row r="28" spans="1:5" ht="12">
      <c r="A28" s="24" t="s">
        <v>99</v>
      </c>
      <c r="B28" s="108">
        <f>'YEAR 1'!B28</f>
        <v>0</v>
      </c>
      <c r="C28" s="210">
        <f t="shared" si="1"/>
        <v>0</v>
      </c>
      <c r="D28" s="41"/>
      <c r="E28" s="59"/>
    </row>
    <row r="29" spans="1:5" ht="12">
      <c r="A29" s="24" t="s">
        <v>100</v>
      </c>
      <c r="B29" s="108">
        <f>'YEAR 1'!B29</f>
        <v>0</v>
      </c>
      <c r="C29" s="210">
        <f t="shared" si="1"/>
        <v>0</v>
      </c>
      <c r="D29" s="41"/>
      <c r="E29" s="59"/>
    </row>
    <row r="30" spans="1:5" ht="12">
      <c r="A30" s="24" t="s">
        <v>101</v>
      </c>
      <c r="B30" s="108">
        <f>'YEAR 1'!B30</f>
        <v>0</v>
      </c>
      <c r="C30" s="210">
        <f t="shared" si="1"/>
        <v>0</v>
      </c>
      <c r="D30" s="41"/>
      <c r="E30" s="59"/>
    </row>
    <row r="31" spans="1:5" ht="12">
      <c r="A31" s="13" t="s">
        <v>180</v>
      </c>
      <c r="B31" s="108">
        <f>'Combined '!D11</f>
        <v>253702</v>
      </c>
      <c r="C31" s="210">
        <f t="shared" si="1"/>
        <v>195.45608628659477</v>
      </c>
      <c r="D31" s="290" t="s">
        <v>282</v>
      </c>
      <c r="E31" s="59"/>
    </row>
    <row r="32" spans="1:5" ht="12">
      <c r="A32" s="13" t="s">
        <v>47</v>
      </c>
      <c r="B32" s="108">
        <f>'YEAR 1'!B32</f>
        <v>0</v>
      </c>
      <c r="C32" s="210">
        <f t="shared" si="1"/>
        <v>0</v>
      </c>
      <c r="D32" s="41"/>
      <c r="E32" s="59"/>
    </row>
    <row r="33" spans="1:5" ht="12">
      <c r="A33" s="13" t="s">
        <v>47</v>
      </c>
      <c r="B33" s="108">
        <f>'YEAR 1'!B33</f>
        <v>0</v>
      </c>
      <c r="C33" s="210">
        <f t="shared" si="1"/>
        <v>0</v>
      </c>
      <c r="D33" s="41"/>
      <c r="E33" s="59"/>
    </row>
    <row r="34" spans="1:5" ht="12">
      <c r="A34" s="13" t="s">
        <v>47</v>
      </c>
      <c r="B34" s="108">
        <f>'YEAR 1'!B34</f>
        <v>0</v>
      </c>
      <c r="C34" s="210">
        <f t="shared" si="1"/>
        <v>0</v>
      </c>
      <c r="D34" s="41"/>
      <c r="E34" s="59"/>
    </row>
    <row r="35" spans="1:5" ht="12">
      <c r="A35" s="20" t="s">
        <v>4</v>
      </c>
      <c r="B35" s="110">
        <f>SUM(B6:B34)</f>
        <v>12818909.560131794</v>
      </c>
      <c r="C35" s="210">
        <f t="shared" si="1"/>
        <v>9875.893343707083</v>
      </c>
      <c r="D35" s="43"/>
      <c r="E35" s="59"/>
    </row>
    <row r="36" spans="1:6" s="47" customFormat="1" ht="12">
      <c r="A36" s="16"/>
      <c r="B36" s="111">
        <f>B35-'Combined '!D14</f>
        <v>0</v>
      </c>
      <c r="C36" s="164"/>
      <c r="D36" s="75"/>
      <c r="E36" s="76"/>
      <c r="F36" s="77"/>
    </row>
    <row r="37" spans="1:5" ht="12">
      <c r="A37" s="10" t="s">
        <v>56</v>
      </c>
      <c r="B37" s="110"/>
      <c r="C37" s="211"/>
      <c r="D37" s="43"/>
      <c r="E37" s="59"/>
    </row>
    <row r="38" spans="1:5" ht="12">
      <c r="A38" s="12" t="s">
        <v>77</v>
      </c>
      <c r="B38" s="110"/>
      <c r="C38" s="211"/>
      <c r="D38" s="282" t="s">
        <v>285</v>
      </c>
      <c r="E38" s="59"/>
    </row>
    <row r="39" spans="1:5" ht="12">
      <c r="A39" s="63" t="s">
        <v>73</v>
      </c>
      <c r="B39" s="110">
        <f>'Staffing Year 2'!F47</f>
        <v>7575111.700670337</v>
      </c>
      <c r="C39" s="210">
        <f aca="true" t="shared" si="2" ref="C39:C48">B39/$B$1</f>
        <v>5835.987442735237</v>
      </c>
      <c r="D39" s="282" t="s">
        <v>278</v>
      </c>
      <c r="E39" s="59"/>
    </row>
    <row r="40" spans="1:5" ht="12">
      <c r="A40" s="96" t="s">
        <v>151</v>
      </c>
      <c r="B40" s="111">
        <f>'TBLA Expense'!D62+'TBLA Expense'!K62</f>
        <v>185173.29892247598</v>
      </c>
      <c r="C40" s="210">
        <f t="shared" si="2"/>
        <v>142.6604768277935</v>
      </c>
      <c r="D40" s="41" t="s">
        <v>5</v>
      </c>
      <c r="E40" s="59"/>
    </row>
    <row r="41" spans="1:5" ht="12">
      <c r="A41" s="14" t="s">
        <v>74</v>
      </c>
      <c r="B41" s="111">
        <f>'TBLA Expense'!D63+'TBLA Expense'!K63</f>
        <v>60244.9691261944</v>
      </c>
      <c r="C41" s="210">
        <f t="shared" si="2"/>
        <v>46.41368961956425</v>
      </c>
      <c r="D41" s="41"/>
      <c r="E41" s="78"/>
    </row>
    <row r="42" spans="1:5" ht="12">
      <c r="A42" s="14" t="s">
        <v>75</v>
      </c>
      <c r="B42" s="111"/>
      <c r="C42" s="210">
        <f t="shared" si="2"/>
        <v>0</v>
      </c>
      <c r="D42" s="41"/>
      <c r="E42" s="78"/>
    </row>
    <row r="43" spans="1:5" ht="12">
      <c r="A43" s="7" t="s">
        <v>47</v>
      </c>
      <c r="B43" s="111"/>
      <c r="C43" s="210">
        <f t="shared" si="2"/>
        <v>0</v>
      </c>
      <c r="D43" s="41"/>
      <c r="E43" s="78"/>
    </row>
    <row r="44" spans="1:5" ht="12">
      <c r="A44" s="7" t="s">
        <v>47</v>
      </c>
      <c r="B44" s="111"/>
      <c r="C44" s="210">
        <f t="shared" si="2"/>
        <v>0</v>
      </c>
      <c r="D44" s="41"/>
      <c r="E44" s="78"/>
    </row>
    <row r="45" spans="1:5" ht="12">
      <c r="A45" s="7" t="s">
        <v>47</v>
      </c>
      <c r="B45" s="111"/>
      <c r="C45" s="210">
        <f t="shared" si="2"/>
        <v>0</v>
      </c>
      <c r="D45" s="41"/>
      <c r="E45" s="78"/>
    </row>
    <row r="46" spans="1:5" ht="12">
      <c r="A46" s="7" t="s">
        <v>47</v>
      </c>
      <c r="B46" s="111"/>
      <c r="C46" s="210">
        <f t="shared" si="2"/>
        <v>0</v>
      </c>
      <c r="D46" s="41"/>
      <c r="E46" s="78"/>
    </row>
    <row r="47" spans="1:5" ht="12">
      <c r="A47" s="7" t="s">
        <v>47</v>
      </c>
      <c r="B47" s="111"/>
      <c r="C47" s="210">
        <f t="shared" si="2"/>
        <v>0</v>
      </c>
      <c r="D47" s="41"/>
      <c r="E47" s="78"/>
    </row>
    <row r="48" spans="1:6" s="45" customFormat="1" ht="12">
      <c r="A48" s="20" t="s">
        <v>76</v>
      </c>
      <c r="B48" s="110">
        <f>SUM(B39:B47)</f>
        <v>7820529.968719008</v>
      </c>
      <c r="C48" s="210">
        <f t="shared" si="2"/>
        <v>6025.061609182595</v>
      </c>
      <c r="D48" s="43"/>
      <c r="E48" s="83"/>
      <c r="F48" s="84"/>
    </row>
    <row r="49" spans="1:6" s="87" customFormat="1" ht="12">
      <c r="A49" s="63"/>
      <c r="B49" s="110">
        <f>B48-'Combined '!D42</f>
        <v>0</v>
      </c>
      <c r="C49" s="211"/>
      <c r="D49" s="43"/>
      <c r="E49" s="85"/>
      <c r="F49" s="86"/>
    </row>
    <row r="50" spans="1:5" ht="12">
      <c r="A50" s="15" t="s">
        <v>78</v>
      </c>
      <c r="B50" s="110"/>
      <c r="C50" s="211"/>
      <c r="D50" s="282" t="s">
        <v>287</v>
      </c>
      <c r="E50" s="50"/>
    </row>
    <row r="51" spans="1:6" s="47" customFormat="1" ht="12">
      <c r="A51" s="79" t="s">
        <v>6</v>
      </c>
      <c r="B51" s="111">
        <f>'TBLA Expense'!D66+'TBLA Expense'!K66</f>
        <v>45583.945634266885</v>
      </c>
      <c r="C51" s="210">
        <f aca="true" t="shared" si="3" ref="C51:C114">B51/$B$1</f>
        <v>35.118602183564626</v>
      </c>
      <c r="D51" s="41"/>
      <c r="E51" s="80"/>
      <c r="F51" s="77"/>
    </row>
    <row r="52" spans="1:6" s="47" customFormat="1" ht="12">
      <c r="A52" s="79" t="s">
        <v>7</v>
      </c>
      <c r="B52" s="111">
        <f>'TBLA Expense'!D67+'TBLA Expense'!K67</f>
        <v>3092.3970345963758</v>
      </c>
      <c r="C52" s="210">
        <f t="shared" si="3"/>
        <v>2.382432230043433</v>
      </c>
      <c r="D52" s="41" t="s">
        <v>5</v>
      </c>
      <c r="E52" s="80"/>
      <c r="F52" s="77"/>
    </row>
    <row r="53" spans="1:6" s="47" customFormat="1" ht="12">
      <c r="A53" s="79" t="s">
        <v>8</v>
      </c>
      <c r="B53" s="111">
        <f>'TBLA Expense'!D68+'TBLA Expense'!K68</f>
        <v>0</v>
      </c>
      <c r="C53" s="210">
        <f t="shared" si="3"/>
        <v>0</v>
      </c>
      <c r="D53" s="41"/>
      <c r="E53" s="80"/>
      <c r="F53" s="77"/>
    </row>
    <row r="54" spans="1:5" ht="12">
      <c r="A54" s="19" t="s">
        <v>9</v>
      </c>
      <c r="B54" s="111">
        <f>'TBLA Expense'!D69+'TBLA Expense'!K69</f>
        <v>17022.322325277593</v>
      </c>
      <c r="C54" s="210">
        <f t="shared" si="3"/>
        <v>13.114269896207698</v>
      </c>
      <c r="D54" s="41"/>
      <c r="E54" s="59"/>
    </row>
    <row r="55" spans="1:5" ht="12">
      <c r="A55" s="19" t="s">
        <v>10</v>
      </c>
      <c r="B55" s="111">
        <f>'TBLA Expense'!D70+'TBLA Expense'!K70</f>
        <v>0</v>
      </c>
      <c r="C55" s="210">
        <f t="shared" si="3"/>
        <v>0</v>
      </c>
      <c r="D55" s="41"/>
      <c r="E55" s="59"/>
    </row>
    <row r="56" spans="1:5" ht="12">
      <c r="A56" s="19" t="s">
        <v>11</v>
      </c>
      <c r="B56" s="111">
        <f>'TBLA Expense'!D71+'TBLA Expense'!K71</f>
        <v>72000</v>
      </c>
      <c r="C56" s="210">
        <f t="shared" si="3"/>
        <v>55.46995377503852</v>
      </c>
      <c r="D56" s="41"/>
      <c r="E56" s="59"/>
    </row>
    <row r="57" spans="1:5" ht="12">
      <c r="A57" s="19" t="s">
        <v>44</v>
      </c>
      <c r="B57" s="111">
        <f>'TBLA Expense'!D72+'TBLA Expense'!K72</f>
        <v>111292.52230642505</v>
      </c>
      <c r="C57" s="210">
        <f t="shared" si="3"/>
        <v>85.74154260895612</v>
      </c>
      <c r="D57" s="41"/>
      <c r="E57" s="59"/>
    </row>
    <row r="58" spans="1:5" ht="12">
      <c r="A58" s="82" t="s">
        <v>12</v>
      </c>
      <c r="B58" s="111">
        <f>'TBLA Expense'!D73+'TBLA Expense'!K73</f>
        <v>25515.980230642504</v>
      </c>
      <c r="C58" s="210">
        <f t="shared" si="3"/>
        <v>19.657920054424117</v>
      </c>
      <c r="D58" s="41"/>
      <c r="E58" s="78"/>
    </row>
    <row r="59" spans="1:5" ht="12">
      <c r="A59" s="14" t="s">
        <v>66</v>
      </c>
      <c r="B59" s="111">
        <f>'TBLA Expense'!D74+'TBLA Expense'!K74</f>
        <v>115344.24629324547</v>
      </c>
      <c r="C59" s="210">
        <f t="shared" si="3"/>
        <v>88.86305569587478</v>
      </c>
      <c r="D59" s="41" t="s">
        <v>5</v>
      </c>
      <c r="E59" s="78"/>
    </row>
    <row r="60" spans="1:5" ht="12">
      <c r="A60" s="7" t="s">
        <v>47</v>
      </c>
      <c r="B60" s="111"/>
      <c r="C60" s="210">
        <f t="shared" si="3"/>
        <v>0</v>
      </c>
      <c r="D60" s="41"/>
      <c r="E60" s="59"/>
    </row>
    <row r="61" spans="1:5" ht="12">
      <c r="A61" s="7" t="s">
        <v>47</v>
      </c>
      <c r="B61" s="111"/>
      <c r="C61" s="210">
        <f t="shared" si="3"/>
        <v>0</v>
      </c>
      <c r="D61" s="41"/>
      <c r="E61" s="59"/>
    </row>
    <row r="62" spans="1:5" ht="12">
      <c r="A62" s="7" t="s">
        <v>47</v>
      </c>
      <c r="B62" s="111"/>
      <c r="C62" s="210">
        <f t="shared" si="3"/>
        <v>0</v>
      </c>
      <c r="D62" s="41"/>
      <c r="E62" s="59"/>
    </row>
    <row r="63" spans="1:5" ht="12">
      <c r="A63" s="7" t="s">
        <v>47</v>
      </c>
      <c r="B63" s="111"/>
      <c r="C63" s="210">
        <f t="shared" si="3"/>
        <v>0</v>
      </c>
      <c r="D63" s="41"/>
      <c r="E63" s="59"/>
    </row>
    <row r="64" spans="1:5" ht="12">
      <c r="A64" s="7" t="s">
        <v>47</v>
      </c>
      <c r="B64" s="111"/>
      <c r="C64" s="210">
        <f t="shared" si="3"/>
        <v>0</v>
      </c>
      <c r="D64" s="41"/>
      <c r="E64" s="59"/>
    </row>
    <row r="65" spans="1:6" s="45" customFormat="1" ht="12">
      <c r="A65" s="20" t="s">
        <v>79</v>
      </c>
      <c r="B65" s="110">
        <f>SUM(B51:B64)</f>
        <v>389851.41382445383</v>
      </c>
      <c r="C65" s="210">
        <f t="shared" si="3"/>
        <v>300.3477764441093</v>
      </c>
      <c r="D65" s="43"/>
      <c r="E65" s="83"/>
      <c r="F65" s="84"/>
    </row>
    <row r="66" spans="1:6" s="87" customFormat="1" ht="12">
      <c r="A66" s="63"/>
      <c r="B66" s="110">
        <f>B65-'Combined '!D53</f>
        <v>0</v>
      </c>
      <c r="C66" s="210">
        <f t="shared" si="3"/>
        <v>0</v>
      </c>
      <c r="D66" s="43"/>
      <c r="E66" s="85"/>
      <c r="F66" s="86"/>
    </row>
    <row r="67" spans="1:5" ht="12">
      <c r="A67" s="15" t="s">
        <v>45</v>
      </c>
      <c r="B67" s="110"/>
      <c r="C67" s="210">
        <f t="shared" si="3"/>
        <v>0</v>
      </c>
      <c r="D67" s="43"/>
      <c r="E67" s="50"/>
    </row>
    <row r="68" spans="1:5" ht="12">
      <c r="A68" s="7" t="s">
        <v>19</v>
      </c>
      <c r="B68" s="112">
        <f>'TBLA Expense'!D77+'TBLA Expense'!K77</f>
        <v>18495.578253706757</v>
      </c>
      <c r="C68" s="210">
        <f t="shared" si="3"/>
        <v>14.24928987188502</v>
      </c>
      <c r="D68" s="41"/>
      <c r="E68" s="59"/>
    </row>
    <row r="69" spans="1:5" ht="12">
      <c r="A69" s="7" t="s">
        <v>20</v>
      </c>
      <c r="B69" s="112">
        <f>'TBLA Expense'!D78+'TBLA Expense'!K78</f>
        <v>6345.995057660626</v>
      </c>
      <c r="C69" s="210">
        <f t="shared" si="3"/>
        <v>4.88905628479247</v>
      </c>
      <c r="D69" s="41"/>
      <c r="E69" s="59"/>
    </row>
    <row r="70" spans="1:5" ht="12">
      <c r="A70" s="14" t="s">
        <v>21</v>
      </c>
      <c r="B70" s="112">
        <f>'TBLA Expense'!D79+'TBLA Expense'!K79</f>
        <v>11233.629324546953</v>
      </c>
      <c r="C70" s="210">
        <f t="shared" si="3"/>
        <v>8.654568046646343</v>
      </c>
      <c r="D70" s="88"/>
      <c r="E70" s="78"/>
    </row>
    <row r="71" spans="1:5" ht="12">
      <c r="A71" s="7" t="s">
        <v>22</v>
      </c>
      <c r="B71" s="112">
        <f>'TBLA Expense'!D80+'TBLA Expense'!K80</f>
        <v>37477.411087314664</v>
      </c>
      <c r="C71" s="210">
        <f t="shared" si="3"/>
        <v>28.87319806418695</v>
      </c>
      <c r="D71" s="88"/>
      <c r="E71" s="78"/>
    </row>
    <row r="72" spans="1:5" ht="12">
      <c r="A72" s="7" t="s">
        <v>281</v>
      </c>
      <c r="B72" s="112">
        <f>'TBLA Expense'!D81+'TBLA Expense'!K81</f>
        <v>37340.38220757825</v>
      </c>
      <c r="C72" s="210">
        <f t="shared" si="3"/>
        <v>28.76762881939773</v>
      </c>
      <c r="D72" s="41"/>
      <c r="E72" s="59"/>
    </row>
    <row r="73" spans="1:5" ht="12">
      <c r="A73" s="7" t="s">
        <v>47</v>
      </c>
      <c r="B73" s="113"/>
      <c r="C73" s="210">
        <f t="shared" si="3"/>
        <v>0</v>
      </c>
      <c r="D73" s="41"/>
      <c r="E73" s="59"/>
    </row>
    <row r="74" spans="1:5" ht="12">
      <c r="A74" s="7" t="s">
        <v>47</v>
      </c>
      <c r="B74" s="113"/>
      <c r="C74" s="210">
        <f t="shared" si="3"/>
        <v>0</v>
      </c>
      <c r="D74" s="41"/>
      <c r="E74" s="59"/>
    </row>
    <row r="75" spans="1:5" ht="12">
      <c r="A75" s="7" t="s">
        <v>47</v>
      </c>
      <c r="B75" s="113"/>
      <c r="C75" s="210">
        <f t="shared" si="3"/>
        <v>0</v>
      </c>
      <c r="D75" s="41"/>
      <c r="E75" s="59"/>
    </row>
    <row r="76" spans="1:5" ht="12">
      <c r="A76" s="7" t="s">
        <v>47</v>
      </c>
      <c r="B76" s="113"/>
      <c r="C76" s="210">
        <f t="shared" si="3"/>
        <v>0</v>
      </c>
      <c r="D76" s="41"/>
      <c r="E76" s="59"/>
    </row>
    <row r="77" spans="1:6" s="45" customFormat="1" ht="12">
      <c r="A77" s="20" t="s">
        <v>80</v>
      </c>
      <c r="B77" s="110">
        <f>SUM(B68:B76)</f>
        <v>110892.99593080726</v>
      </c>
      <c r="C77" s="210">
        <f t="shared" si="3"/>
        <v>85.43374108690851</v>
      </c>
      <c r="D77" s="43"/>
      <c r="E77" s="83"/>
      <c r="F77" s="84"/>
    </row>
    <row r="78" spans="1:6" s="45" customFormat="1" ht="12">
      <c r="A78" s="20"/>
      <c r="B78" s="110">
        <f>B77-'Combined '!D60</f>
        <v>0</v>
      </c>
      <c r="C78" s="210">
        <f t="shared" si="3"/>
        <v>0</v>
      </c>
      <c r="D78" s="43"/>
      <c r="E78" s="83"/>
      <c r="F78" s="84"/>
    </row>
    <row r="79" spans="1:5" ht="12">
      <c r="A79" s="15" t="s">
        <v>54</v>
      </c>
      <c r="B79" s="110"/>
      <c r="C79" s="210">
        <f t="shared" si="3"/>
        <v>0</v>
      </c>
      <c r="D79" s="43"/>
      <c r="E79" s="50"/>
    </row>
    <row r="80" spans="1:5" ht="12">
      <c r="A80" s="14" t="s">
        <v>55</v>
      </c>
      <c r="B80" s="112"/>
      <c r="C80" s="210">
        <f t="shared" si="3"/>
        <v>0</v>
      </c>
      <c r="D80" s="41" t="s">
        <v>5</v>
      </c>
      <c r="E80" s="89"/>
    </row>
    <row r="81" spans="1:5" ht="12">
      <c r="A81" s="14" t="s">
        <v>13</v>
      </c>
      <c r="B81" s="112"/>
      <c r="C81" s="210">
        <f t="shared" si="3"/>
        <v>0</v>
      </c>
      <c r="D81" s="41"/>
      <c r="E81" s="78"/>
    </row>
    <row r="82" spans="1:5" ht="12">
      <c r="A82" s="14" t="s">
        <v>14</v>
      </c>
      <c r="B82" s="112"/>
      <c r="C82" s="210">
        <f t="shared" si="3"/>
        <v>0</v>
      </c>
      <c r="D82" s="41"/>
      <c r="E82" s="78"/>
    </row>
    <row r="83" spans="1:5" ht="12">
      <c r="A83" s="7" t="s">
        <v>47</v>
      </c>
      <c r="B83" s="113"/>
      <c r="C83" s="210">
        <f t="shared" si="3"/>
        <v>0</v>
      </c>
      <c r="D83" s="41"/>
      <c r="E83" s="59"/>
    </row>
    <row r="84" spans="1:5" ht="12">
      <c r="A84" s="7" t="s">
        <v>47</v>
      </c>
      <c r="B84" s="113"/>
      <c r="C84" s="210">
        <f t="shared" si="3"/>
        <v>0</v>
      </c>
      <c r="D84" s="41"/>
      <c r="E84" s="59"/>
    </row>
    <row r="85" spans="1:5" ht="12">
      <c r="A85" s="7" t="s">
        <v>47</v>
      </c>
      <c r="B85" s="113"/>
      <c r="C85" s="210">
        <f t="shared" si="3"/>
        <v>0</v>
      </c>
      <c r="D85" s="41"/>
      <c r="E85" s="59"/>
    </row>
    <row r="86" spans="1:5" ht="12">
      <c r="A86" s="7" t="s">
        <v>47</v>
      </c>
      <c r="B86" s="113"/>
      <c r="C86" s="210">
        <f t="shared" si="3"/>
        <v>0</v>
      </c>
      <c r="D86" s="41"/>
      <c r="E86" s="59"/>
    </row>
    <row r="87" spans="1:5" ht="12">
      <c r="A87" s="7" t="s">
        <v>47</v>
      </c>
      <c r="B87" s="113"/>
      <c r="C87" s="210">
        <f t="shared" si="3"/>
        <v>0</v>
      </c>
      <c r="D87" s="41"/>
      <c r="E87" s="59"/>
    </row>
    <row r="88" spans="1:6" s="45" customFormat="1" ht="12">
      <c r="A88" s="20" t="s">
        <v>81</v>
      </c>
      <c r="B88" s="110">
        <f>SUM(B80:B87)</f>
        <v>0</v>
      </c>
      <c r="C88" s="210">
        <f t="shared" si="3"/>
        <v>0</v>
      </c>
      <c r="D88" s="43"/>
      <c r="E88" s="83"/>
      <c r="F88" s="84"/>
    </row>
    <row r="89" spans="1:6" s="45" customFormat="1" ht="12">
      <c r="A89" s="20"/>
      <c r="B89" s="110"/>
      <c r="C89" s="210">
        <f t="shared" si="3"/>
        <v>0</v>
      </c>
      <c r="D89" s="43"/>
      <c r="E89" s="83"/>
      <c r="F89" s="84"/>
    </row>
    <row r="90" spans="1:5" ht="12">
      <c r="A90" s="15" t="s">
        <v>46</v>
      </c>
      <c r="B90" s="110"/>
      <c r="C90" s="210">
        <f t="shared" si="3"/>
        <v>0</v>
      </c>
      <c r="D90" s="43"/>
      <c r="E90" s="50"/>
    </row>
    <row r="91" spans="1:5" ht="12">
      <c r="A91" s="14" t="s">
        <v>15</v>
      </c>
      <c r="B91" s="112">
        <f>'TBLA Expense'!D90+'TBLA Expense'!K90</f>
        <v>5050</v>
      </c>
      <c r="C91" s="210">
        <f t="shared" si="3"/>
        <v>3.8906009244992297</v>
      </c>
      <c r="D91" s="41"/>
      <c r="E91" s="78"/>
    </row>
    <row r="92" spans="1:5" ht="12">
      <c r="A92" s="23" t="s">
        <v>148</v>
      </c>
      <c r="B92" s="112">
        <f>'TBLA Expense'!D91+'TBLA Expense'!K91</f>
        <v>21259.49</v>
      </c>
      <c r="C92" s="210">
        <f t="shared" si="3"/>
        <v>16.378651771956857</v>
      </c>
      <c r="D92" s="41" t="s">
        <v>5</v>
      </c>
      <c r="E92" s="78"/>
    </row>
    <row r="93" spans="1:5" ht="12">
      <c r="A93" s="14" t="s">
        <v>16</v>
      </c>
      <c r="B93" s="112">
        <f>'TBLA Expense'!D92+'TBLA Expense'!K92</f>
        <v>40804.202000000005</v>
      </c>
      <c r="C93" s="210">
        <f t="shared" si="3"/>
        <v>31.43621109399076</v>
      </c>
      <c r="D93" s="41"/>
      <c r="E93" s="78"/>
    </row>
    <row r="94" spans="1:5" ht="12">
      <c r="A94" s="14" t="s">
        <v>17</v>
      </c>
      <c r="B94" s="112">
        <f>'TBLA Expense'!D93+'TBLA Expense'!K93</f>
        <v>49407.18</v>
      </c>
      <c r="C94" s="210">
        <f t="shared" si="3"/>
        <v>38.06408320493066</v>
      </c>
      <c r="D94" s="41"/>
      <c r="E94" s="78"/>
    </row>
    <row r="95" spans="1:5" ht="12">
      <c r="A95" s="14" t="s">
        <v>18</v>
      </c>
      <c r="B95" s="112">
        <f>'TBLA Expense'!D94+'TBLA Expense'!K94</f>
        <v>23735</v>
      </c>
      <c r="C95" s="210">
        <f t="shared" si="3"/>
        <v>18.28582434514638</v>
      </c>
      <c r="D95" s="41"/>
      <c r="E95" s="78"/>
    </row>
    <row r="96" spans="1:5" ht="12">
      <c r="A96" s="7" t="s">
        <v>26</v>
      </c>
      <c r="B96" s="112">
        <f>'TBLA Expense'!D95+'TBLA Expense'!K95</f>
        <v>15341.033422398135</v>
      </c>
      <c r="C96" s="210">
        <f t="shared" si="3"/>
        <v>11.818977983357577</v>
      </c>
      <c r="D96" s="41" t="s">
        <v>5</v>
      </c>
      <c r="E96" s="59"/>
    </row>
    <row r="97" spans="1:5" ht="12">
      <c r="A97" s="14" t="s">
        <v>23</v>
      </c>
      <c r="B97" s="112">
        <f>'TBLA Expense'!D96+'TBLA Expense'!K96</f>
        <v>59792</v>
      </c>
      <c r="C97" s="210">
        <f t="shared" si="3"/>
        <v>46.06471494607088</v>
      </c>
      <c r="D97" s="41"/>
      <c r="E97" s="78"/>
    </row>
    <row r="98" spans="1:5" ht="12">
      <c r="A98" s="14" t="s">
        <v>24</v>
      </c>
      <c r="B98" s="112">
        <f>'TBLA Expense'!D97+'TBLA Expense'!K97</f>
        <v>35451</v>
      </c>
      <c r="C98" s="210">
        <f t="shared" si="3"/>
        <v>27.31201848998459</v>
      </c>
      <c r="D98" s="41"/>
      <c r="E98" s="78"/>
    </row>
    <row r="99" spans="1:5" ht="24">
      <c r="A99" s="23" t="s">
        <v>113</v>
      </c>
      <c r="B99" s="112">
        <f>'TBLA Expense'!D98+'TBLA Expense'!K98</f>
        <v>123800.75</v>
      </c>
      <c r="C99" s="210">
        <f t="shared" si="3"/>
        <v>95.37808166409862</v>
      </c>
      <c r="D99" s="41"/>
      <c r="E99" s="78"/>
    </row>
    <row r="100" spans="1:5" ht="12">
      <c r="A100" s="7" t="s">
        <v>30</v>
      </c>
      <c r="B100" s="112">
        <f>'TBLA Expense'!D99+'TBLA Expense'!K99</f>
        <v>1666.5</v>
      </c>
      <c r="C100" s="210">
        <f t="shared" si="3"/>
        <v>1.2838983050847457</v>
      </c>
      <c r="D100" s="41"/>
      <c r="E100" s="59"/>
    </row>
    <row r="101" spans="1:5" ht="12">
      <c r="A101" s="7" t="s">
        <v>31</v>
      </c>
      <c r="B101" s="112">
        <f>'TBLA Expense'!D100+'TBLA Expense'!K100</f>
        <v>6186.25</v>
      </c>
      <c r="C101" s="210">
        <f t="shared" si="3"/>
        <v>4.765986132511556</v>
      </c>
      <c r="D101" s="41"/>
      <c r="E101" s="59"/>
    </row>
    <row r="102" spans="1:6" ht="12">
      <c r="A102" s="51" t="s">
        <v>102</v>
      </c>
      <c r="B102" s="112">
        <f>'TBLA Expense'!D101+'TBLA Expense'!K101</f>
        <v>66155</v>
      </c>
      <c r="C102" s="210">
        <f t="shared" si="3"/>
        <v>50.96687211093991</v>
      </c>
      <c r="D102" s="52"/>
      <c r="E102" s="59"/>
      <c r="F102" s="90"/>
    </row>
    <row r="103" spans="1:6" ht="12">
      <c r="A103" s="51" t="s">
        <v>48</v>
      </c>
      <c r="B103" s="112">
        <f>'TBLA Expense'!D102+'TBLA Expense'!K102</f>
        <v>18180</v>
      </c>
      <c r="C103" s="210">
        <f t="shared" si="3"/>
        <v>14.006163328197227</v>
      </c>
      <c r="D103" s="52"/>
      <c r="E103" s="59"/>
      <c r="F103" s="90"/>
    </row>
    <row r="104" spans="1:5" ht="12">
      <c r="A104" s="51" t="s">
        <v>27</v>
      </c>
      <c r="B104" s="112">
        <f>'TBLA Expense'!D103+'TBLA Expense'!K103</f>
        <v>709198.621911038</v>
      </c>
      <c r="C104" s="210">
        <f t="shared" si="3"/>
        <v>546.3779829823096</v>
      </c>
      <c r="D104" s="52"/>
      <c r="E104" s="59"/>
    </row>
    <row r="105" spans="1:5" ht="12">
      <c r="A105" s="51" t="s">
        <v>28</v>
      </c>
      <c r="B105" s="112">
        <f>'TBLA Expense'!D104+'TBLA Expense'!K104</f>
        <v>116352</v>
      </c>
      <c r="C105" s="210">
        <f t="shared" si="3"/>
        <v>89.63944530046226</v>
      </c>
      <c r="D105" s="52"/>
      <c r="E105" s="59"/>
    </row>
    <row r="106" spans="1:5" ht="12">
      <c r="A106" s="96" t="s">
        <v>153</v>
      </c>
      <c r="B106" s="114"/>
      <c r="C106" s="210">
        <f t="shared" si="3"/>
        <v>0</v>
      </c>
      <c r="D106" s="52"/>
      <c r="E106" s="59"/>
    </row>
    <row r="107" spans="1:5" ht="12">
      <c r="A107" s="51" t="s">
        <v>271</v>
      </c>
      <c r="B107" s="114">
        <f>'TBLA Expense'!D106+'TBLA Expense'!K106</f>
        <v>17041.848138385503</v>
      </c>
      <c r="C107" s="210">
        <f t="shared" si="3"/>
        <v>13.12931289552042</v>
      </c>
      <c r="D107" s="52"/>
      <c r="E107" s="59"/>
    </row>
    <row r="108" spans="1:5" ht="12">
      <c r="A108" s="51" t="s">
        <v>272</v>
      </c>
      <c r="B108" s="114">
        <f>'TBLA Expense'!D107+'TBLA Expense'!K107</f>
        <v>12110.21631678701</v>
      </c>
      <c r="C108" s="210">
        <f t="shared" si="3"/>
        <v>9.329904712470732</v>
      </c>
      <c r="D108" s="52"/>
      <c r="E108" s="59"/>
    </row>
    <row r="109" spans="1:5" ht="12">
      <c r="A109" s="51" t="s">
        <v>274</v>
      </c>
      <c r="B109" s="114">
        <f>'TBLA Expense'!D108+'TBLA Expense'!K108+'TBLA Expense'!K110+'TBLA Expense'!K111+'TBLA Expense'!D111+'TBLA Expense'!D110+'TBLA Expense'!D105+'TBLA Expense'!K105</f>
        <v>28393.87428602666</v>
      </c>
      <c r="C109" s="210">
        <f t="shared" si="3"/>
        <v>21.87509575194658</v>
      </c>
      <c r="D109" s="52"/>
      <c r="E109" s="59"/>
    </row>
    <row r="110" spans="1:5" ht="12">
      <c r="A110" s="51" t="s">
        <v>273</v>
      </c>
      <c r="B110" s="115">
        <f>'TBLA Expense'!D109+'TBLA Expense'!K109</f>
        <v>133199.58537067543</v>
      </c>
      <c r="C110" s="210">
        <f t="shared" si="3"/>
        <v>102.61909504674531</v>
      </c>
      <c r="D110" s="53"/>
      <c r="E110" s="59"/>
    </row>
    <row r="111" spans="1:6" s="45" customFormat="1" ht="12">
      <c r="A111" s="20" t="s">
        <v>82</v>
      </c>
      <c r="B111" s="110">
        <f>SUM(B91:B110)</f>
        <v>1483124.5514453107</v>
      </c>
      <c r="C111" s="210">
        <f t="shared" si="3"/>
        <v>1142.622920990224</v>
      </c>
      <c r="D111" s="43"/>
      <c r="E111" s="83"/>
      <c r="F111" s="84"/>
    </row>
    <row r="112" spans="1:6" s="47" customFormat="1" ht="12">
      <c r="A112" s="94"/>
      <c r="B112" s="110">
        <f>B111-'Combined '!D89</f>
        <v>0</v>
      </c>
      <c r="C112" s="210">
        <f t="shared" si="3"/>
        <v>0</v>
      </c>
      <c r="D112" s="42"/>
      <c r="E112" s="76"/>
      <c r="F112" s="77"/>
    </row>
    <row r="113" spans="1:5" ht="12">
      <c r="A113" s="94" t="s">
        <v>32</v>
      </c>
      <c r="B113" s="110"/>
      <c r="C113" s="210">
        <f t="shared" si="3"/>
        <v>0</v>
      </c>
      <c r="D113" s="42"/>
      <c r="E113" s="59"/>
    </row>
    <row r="114" spans="1:5" ht="12">
      <c r="A114" s="51" t="s">
        <v>33</v>
      </c>
      <c r="B114" s="115">
        <f>'TBLA Expense'!D115+'TBLA Expense'!K115</f>
        <v>293623.16</v>
      </c>
      <c r="C114" s="210">
        <f t="shared" si="3"/>
        <v>226.21198767334357</v>
      </c>
      <c r="D114" s="52" t="s">
        <v>5</v>
      </c>
      <c r="E114" s="59"/>
    </row>
    <row r="115" spans="1:5" ht="12">
      <c r="A115" s="149" t="s">
        <v>154</v>
      </c>
      <c r="B115" s="115">
        <f>'TBLA Expense'!D116+'TBLA Expense'!K116</f>
        <v>49389.33278418452</v>
      </c>
      <c r="C115" s="210">
        <f aca="true" t="shared" si="4" ref="C115:C141">B115/$B$1</f>
        <v>38.05033342387097</v>
      </c>
      <c r="D115" s="52"/>
      <c r="E115" s="59"/>
    </row>
    <row r="116" spans="1:5" ht="12">
      <c r="A116" s="91" t="s">
        <v>34</v>
      </c>
      <c r="B116" s="115">
        <f>'TBLA Expense'!D117+'TBLA Expense'!K117</f>
        <v>192159.5716639209</v>
      </c>
      <c r="C116" s="210">
        <f t="shared" si="4"/>
        <v>148.04281330040132</v>
      </c>
      <c r="D116" s="52" t="s">
        <v>5</v>
      </c>
      <c r="E116" s="59"/>
    </row>
    <row r="117" spans="1:5" ht="12">
      <c r="A117" s="51" t="s">
        <v>105</v>
      </c>
      <c r="B117" s="115">
        <f>'TBLA Expense'!D118+'TBLA Expense'!K118</f>
        <v>38837.57825370676</v>
      </c>
      <c r="C117" s="210">
        <f t="shared" si="4"/>
        <v>29.92109264538271</v>
      </c>
      <c r="D117" s="52"/>
      <c r="E117" s="59"/>
    </row>
    <row r="118" spans="1:5" ht="12">
      <c r="A118" s="54" t="s">
        <v>35</v>
      </c>
      <c r="B118" s="115">
        <f>'TBLA Expense'!D119+'TBLA Expense'!K119</f>
        <v>21646.77924217463</v>
      </c>
      <c r="C118" s="210">
        <f t="shared" si="4"/>
        <v>16.677025610304028</v>
      </c>
      <c r="D118" s="52"/>
      <c r="E118" s="78"/>
    </row>
    <row r="119" spans="1:5" ht="12">
      <c r="A119" s="54" t="s">
        <v>36</v>
      </c>
      <c r="B119" s="115">
        <f>'TBLA Expense'!D120+'TBLA Expense'!K120</f>
        <v>116746.36672981878</v>
      </c>
      <c r="C119" s="210">
        <f t="shared" si="4"/>
        <v>89.94327174870476</v>
      </c>
      <c r="D119" s="52"/>
      <c r="E119" s="78"/>
    </row>
    <row r="120" spans="1:5" ht="12">
      <c r="A120" s="51" t="s">
        <v>25</v>
      </c>
      <c r="B120" s="115">
        <f>'TBLA Expense'!D121+'TBLA Expense'!K121</f>
        <v>60208.14662273476</v>
      </c>
      <c r="C120" s="210">
        <f t="shared" si="4"/>
        <v>46.385320972831096</v>
      </c>
      <c r="D120" s="52"/>
      <c r="E120" s="59"/>
    </row>
    <row r="121" spans="1:5" ht="12">
      <c r="A121" s="51" t="s">
        <v>29</v>
      </c>
      <c r="B121" s="115">
        <f>'TBLA Expense'!D122+'TBLA Expense'!K122</f>
        <v>46028.387232289955</v>
      </c>
      <c r="C121" s="210">
        <f t="shared" si="4"/>
        <v>35.461007112704124</v>
      </c>
      <c r="D121" s="52"/>
      <c r="E121" s="59"/>
    </row>
    <row r="122" spans="1:5" ht="12">
      <c r="A122" s="96" t="s">
        <v>155</v>
      </c>
      <c r="B122" s="115">
        <f>'TBLA Expense'!D85+'TBLA Expense'!K85</f>
        <v>1191869.3435585422</v>
      </c>
      <c r="C122" s="210">
        <f t="shared" si="4"/>
        <v>918.2352415705255</v>
      </c>
      <c r="D122" s="290" t="s">
        <v>286</v>
      </c>
      <c r="E122" s="59"/>
    </row>
    <row r="123" spans="1:5" ht="12">
      <c r="A123" s="51" t="s">
        <v>276</v>
      </c>
      <c r="B123" s="115">
        <f>'TBLA Expense'!D84+'TBLA Expense'!D86+'TBLA Expense'!K84</f>
        <v>282397</v>
      </c>
      <c r="C123" s="210">
        <f t="shared" si="4"/>
        <v>217.56317411402156</v>
      </c>
      <c r="D123" s="52"/>
      <c r="E123" s="59"/>
    </row>
    <row r="124" spans="1:5" ht="12">
      <c r="A124" s="51" t="s">
        <v>275</v>
      </c>
      <c r="B124" s="115">
        <f>'TBLA Expense'!D124+'TBLA Expense'!K124</f>
        <v>82671.91103789126</v>
      </c>
      <c r="C124" s="210">
        <f t="shared" si="4"/>
        <v>63.69176505230451</v>
      </c>
      <c r="D124" s="52"/>
      <c r="E124" s="59"/>
    </row>
    <row r="125" spans="1:5" ht="12">
      <c r="A125" s="51" t="s">
        <v>277</v>
      </c>
      <c r="B125" s="115">
        <f>'TBLA Expense'!D123+'TBLA Expense'!K123</f>
        <v>16160</v>
      </c>
      <c r="C125" s="210">
        <f t="shared" si="4"/>
        <v>12.449922958397535</v>
      </c>
      <c r="D125" s="52"/>
      <c r="E125" s="59"/>
    </row>
    <row r="126" spans="1:5" ht="12">
      <c r="A126" s="51" t="s">
        <v>47</v>
      </c>
      <c r="B126" s="115"/>
      <c r="C126" s="210">
        <f t="shared" si="4"/>
        <v>0</v>
      </c>
      <c r="D126" s="52"/>
      <c r="E126" s="59"/>
    </row>
    <row r="127" spans="1:5" ht="12">
      <c r="A127" s="20" t="s">
        <v>37</v>
      </c>
      <c r="B127" s="110">
        <f>SUM(B114:B126)</f>
        <v>2391737.5771252634</v>
      </c>
      <c r="C127" s="210">
        <f t="shared" si="4"/>
        <v>1842.6329561827915</v>
      </c>
      <c r="D127" s="43"/>
      <c r="E127" s="59"/>
    </row>
    <row r="128" spans="1:6" s="47" customFormat="1" ht="12">
      <c r="A128" s="63"/>
      <c r="B128" s="110">
        <f>B127-'Combined '!D101-'Combined '!D65</f>
        <v>0</v>
      </c>
      <c r="C128" s="210">
        <f t="shared" si="4"/>
        <v>0</v>
      </c>
      <c r="D128" s="43"/>
      <c r="E128" s="76"/>
      <c r="F128" s="77"/>
    </row>
    <row r="129" spans="1:5" ht="12">
      <c r="A129" s="17" t="s">
        <v>83</v>
      </c>
      <c r="B129" s="116"/>
      <c r="C129" s="210">
        <f t="shared" si="4"/>
        <v>0</v>
      </c>
      <c r="D129" s="42"/>
      <c r="E129" s="59"/>
    </row>
    <row r="130" spans="1:6" s="47" customFormat="1" ht="12">
      <c r="A130" s="96" t="s">
        <v>85</v>
      </c>
      <c r="B130" s="117">
        <f>'TBLA Expense'!C127+'TBLA Expense'!C128+'TBLA Expense'!J127+'TBLA Expense'!J128</f>
        <v>0</v>
      </c>
      <c r="C130" s="210">
        <f t="shared" si="4"/>
        <v>0</v>
      </c>
      <c r="D130" s="95"/>
      <c r="E130" s="76"/>
      <c r="F130" s="77"/>
    </row>
    <row r="131" spans="1:6" s="47" customFormat="1" ht="12">
      <c r="A131" s="96" t="s">
        <v>111</v>
      </c>
      <c r="B131" s="117">
        <f>'TBLA Expense'!D129+'TBLA Expense'!K129</f>
        <v>87963.69291598022</v>
      </c>
      <c r="C131" s="210">
        <f t="shared" si="4"/>
        <v>67.76863861015426</v>
      </c>
      <c r="D131" s="79" t="s">
        <v>279</v>
      </c>
      <c r="E131" s="76"/>
      <c r="F131" s="77"/>
    </row>
    <row r="132" spans="1:6" s="47" customFormat="1" ht="12">
      <c r="A132" s="96" t="s">
        <v>84</v>
      </c>
      <c r="B132" s="117">
        <f>'TBLA Expense'!D130+'TBLA Expense'!K130</f>
        <v>500000</v>
      </c>
      <c r="C132" s="210">
        <f t="shared" si="4"/>
        <v>385.2080123266564</v>
      </c>
      <c r="D132" s="95"/>
      <c r="E132" s="76"/>
      <c r="F132" s="77"/>
    </row>
    <row r="133" spans="1:6" s="47" customFormat="1" ht="24">
      <c r="A133" s="23" t="s">
        <v>169</v>
      </c>
      <c r="B133" s="117"/>
      <c r="C133" s="210">
        <f t="shared" si="4"/>
        <v>0</v>
      </c>
      <c r="D133" s="95"/>
      <c r="E133" s="76"/>
      <c r="F133" s="77"/>
    </row>
    <row r="134" spans="1:6" s="56" customFormat="1" ht="12">
      <c r="A134" s="96" t="s">
        <v>167</v>
      </c>
      <c r="B134" s="111"/>
      <c r="C134" s="210">
        <f t="shared" si="4"/>
        <v>0</v>
      </c>
      <c r="D134" s="95"/>
      <c r="E134" s="57"/>
      <c r="F134" s="58"/>
    </row>
    <row r="135" spans="1:5" ht="12">
      <c r="A135" s="51" t="s">
        <v>47</v>
      </c>
      <c r="B135" s="109"/>
      <c r="C135" s="210">
        <f t="shared" si="4"/>
        <v>0</v>
      </c>
      <c r="D135" s="41"/>
      <c r="E135" s="59"/>
    </row>
    <row r="136" spans="1:5" ht="12">
      <c r="A136" s="51" t="s">
        <v>47</v>
      </c>
      <c r="B136" s="109"/>
      <c r="C136" s="210">
        <f t="shared" si="4"/>
        <v>0</v>
      </c>
      <c r="D136" s="41"/>
      <c r="E136" s="59"/>
    </row>
    <row r="137" spans="1:5" ht="12">
      <c r="A137" s="20" t="s">
        <v>38</v>
      </c>
      <c r="B137" s="110">
        <f>SUM(B130:B136)</f>
        <v>587963.6929159802</v>
      </c>
      <c r="C137" s="210">
        <f t="shared" si="4"/>
        <v>452.97665093681064</v>
      </c>
      <c r="D137" s="43"/>
      <c r="E137" s="59"/>
    </row>
    <row r="138" spans="1:5" ht="12">
      <c r="A138" s="20"/>
      <c r="B138" s="110">
        <f>B137-'Combined '!D106</f>
        <v>0</v>
      </c>
      <c r="C138" s="210">
        <f t="shared" si="4"/>
        <v>0</v>
      </c>
      <c r="D138" s="43"/>
      <c r="E138" s="59"/>
    </row>
    <row r="139" spans="1:5" ht="12">
      <c r="A139" s="20" t="s">
        <v>39</v>
      </c>
      <c r="B139" s="110">
        <f>B137+B127+B111+B88+B77+B65+B48</f>
        <v>12784100.199960824</v>
      </c>
      <c r="C139" s="210">
        <f t="shared" si="4"/>
        <v>9849.075654823439</v>
      </c>
      <c r="D139" s="43"/>
      <c r="E139" s="59"/>
    </row>
    <row r="140" spans="1:5" ht="12">
      <c r="A140" s="130"/>
      <c r="B140" s="118">
        <f>B139-'Combined '!D108</f>
        <v>0</v>
      </c>
      <c r="C140" s="210">
        <f t="shared" si="4"/>
        <v>0</v>
      </c>
      <c r="D140" s="92"/>
      <c r="E140" s="59"/>
    </row>
    <row r="141" spans="1:6" s="47" customFormat="1" ht="12">
      <c r="A141" s="129" t="s">
        <v>87</v>
      </c>
      <c r="B141" s="118">
        <f>B35-B139</f>
        <v>34809.36017096974</v>
      </c>
      <c r="C141" s="210">
        <f t="shared" si="4"/>
        <v>26.817688883643868</v>
      </c>
      <c r="D141" s="92"/>
      <c r="E141" s="76"/>
      <c r="F141" s="77"/>
    </row>
    <row r="142" ht="12">
      <c r="B142" s="119">
        <f>B141-'Combined '!D110</f>
        <v>-1.862645149230957E-09</v>
      </c>
    </row>
    <row r="143" spans="1:2" ht="12">
      <c r="A143" s="48" t="s">
        <v>88</v>
      </c>
      <c r="B143" s="119">
        <f>B141-'6 YEAR TOTAL'!D141</f>
        <v>0</v>
      </c>
    </row>
  </sheetData>
  <sheetProtection/>
  <mergeCells count="1">
    <mergeCell ref="A3:D3"/>
  </mergeCells>
  <printOptions/>
  <pageMargins left="0.7" right="0.7" top="0.75" bottom="0.75" header="0.3" footer="0.3"/>
  <pageSetup horizontalDpi="1200" verticalDpi="1200" orientation="portrait" scale="91"/>
</worksheet>
</file>

<file path=xl/worksheets/sheet7.xml><?xml version="1.0" encoding="utf-8"?>
<worksheet xmlns="http://schemas.openxmlformats.org/spreadsheetml/2006/main" xmlns:r="http://schemas.openxmlformats.org/officeDocument/2006/relationships">
  <sheetPr>
    <tabColor rgb="FF00B050"/>
  </sheetPr>
  <dimension ref="A1:AC60"/>
  <sheetViews>
    <sheetView workbookViewId="0" topLeftCell="A1">
      <selection activeCell="A1" sqref="A1:F1"/>
    </sheetView>
  </sheetViews>
  <sheetFormatPr defaultColWidth="15.7109375" defaultRowHeight="15"/>
  <cols>
    <col min="1" max="1" width="33.140625" style="48" customWidth="1"/>
    <col min="2" max="2" width="14.421875" style="48" customWidth="1"/>
    <col min="3" max="5" width="15.7109375" style="48" customWidth="1"/>
    <col min="6" max="6" width="15.7109375" style="45" customWidth="1"/>
    <col min="7" max="10" width="15.7109375" style="45" hidden="1" customWidth="1"/>
    <col min="11" max="29" width="15.7109375" style="45" customWidth="1"/>
    <col min="30" max="16384" width="15.7109375" style="48" customWidth="1"/>
  </cols>
  <sheetData>
    <row r="1" spans="1:6" ht="18" customHeight="1">
      <c r="A1" s="301" t="s">
        <v>107</v>
      </c>
      <c r="B1" s="301"/>
      <c r="C1" s="301"/>
      <c r="D1" s="301"/>
      <c r="E1" s="301"/>
      <c r="F1" s="301"/>
    </row>
    <row r="2" spans="1:29" s="4" customFormat="1" ht="41.25" customHeight="1">
      <c r="A2" s="302"/>
      <c r="B2" s="302"/>
      <c r="C2" s="302"/>
      <c r="D2" s="302"/>
      <c r="E2" s="302"/>
      <c r="F2" s="302"/>
      <c r="G2" s="3"/>
      <c r="H2" s="3"/>
      <c r="I2" s="3"/>
      <c r="J2" s="3"/>
      <c r="K2" s="3"/>
      <c r="L2" s="3"/>
      <c r="M2" s="3"/>
      <c r="N2" s="3"/>
      <c r="O2" s="3"/>
      <c r="P2" s="3"/>
      <c r="Q2" s="3"/>
      <c r="R2" s="3"/>
      <c r="S2" s="3"/>
      <c r="T2" s="3"/>
      <c r="U2" s="3"/>
      <c r="V2" s="3"/>
      <c r="W2" s="3"/>
      <c r="X2" s="3"/>
      <c r="Y2" s="3"/>
      <c r="Z2" s="3"/>
      <c r="AA2" s="3"/>
      <c r="AB2" s="3"/>
      <c r="AC2" s="3"/>
    </row>
    <row r="3" spans="1:29" s="6" customFormat="1" ht="12.75" thickBot="1">
      <c r="A3" s="5"/>
      <c r="B3" s="3"/>
      <c r="C3" s="3"/>
      <c r="D3" s="3"/>
      <c r="E3" s="3"/>
      <c r="F3" s="3"/>
      <c r="G3" s="3"/>
      <c r="H3" s="3"/>
      <c r="I3" s="3"/>
      <c r="J3" s="3"/>
      <c r="K3" s="3"/>
      <c r="L3" s="3"/>
      <c r="M3" s="3"/>
      <c r="N3" s="3"/>
      <c r="O3" s="3"/>
      <c r="P3" s="3"/>
      <c r="Q3" s="3"/>
      <c r="R3" s="3"/>
      <c r="S3" s="3"/>
      <c r="T3" s="3"/>
      <c r="U3" s="3"/>
      <c r="V3" s="3"/>
      <c r="W3" s="3"/>
      <c r="X3" s="3"/>
      <c r="Y3" s="3"/>
      <c r="Z3" s="3"/>
      <c r="AA3" s="3"/>
      <c r="AB3" s="3"/>
      <c r="AC3" s="3"/>
    </row>
    <row r="4" spans="1:29" s="6" customFormat="1" ht="19.5" customHeight="1" thickBot="1">
      <c r="A4" s="303" t="s">
        <v>57</v>
      </c>
      <c r="B4" s="304"/>
      <c r="C4" s="304"/>
      <c r="D4" s="304"/>
      <c r="E4" s="304"/>
      <c r="F4" s="305"/>
      <c r="G4" s="3"/>
      <c r="H4" s="3"/>
      <c r="I4" s="3"/>
      <c r="J4" s="3"/>
      <c r="K4" s="3"/>
      <c r="L4" s="3"/>
      <c r="M4" s="3"/>
      <c r="N4" s="3"/>
      <c r="O4" s="3"/>
      <c r="P4" s="3"/>
      <c r="Q4" s="3"/>
      <c r="R4" s="3"/>
      <c r="S4" s="3"/>
      <c r="T4" s="3"/>
      <c r="U4" s="3"/>
      <c r="V4" s="3"/>
      <c r="W4" s="3"/>
      <c r="X4" s="3"/>
      <c r="Y4" s="3"/>
      <c r="Z4" s="3"/>
      <c r="AA4" s="3"/>
      <c r="AB4" s="3"/>
      <c r="AC4" s="3"/>
    </row>
    <row r="5" spans="1:28" s="6" customFormat="1" ht="50.25" customHeight="1" thickBot="1">
      <c r="A5" s="303" t="s">
        <v>280</v>
      </c>
      <c r="B5" s="304"/>
      <c r="C5" s="304"/>
      <c r="D5" s="304"/>
      <c r="E5" s="304"/>
      <c r="F5" s="305"/>
      <c r="G5" s="3">
        <f>'Staffing Year 1'!G5</f>
        <v>0.28</v>
      </c>
      <c r="H5" s="3"/>
      <c r="I5" s="3"/>
      <c r="J5" s="3"/>
      <c r="K5" s="3"/>
      <c r="L5" s="3"/>
      <c r="M5" s="3"/>
      <c r="N5" s="3"/>
      <c r="O5" s="3"/>
      <c r="P5" s="3"/>
      <c r="Q5" s="3"/>
      <c r="R5" s="3"/>
      <c r="S5" s="3"/>
      <c r="T5" s="3"/>
      <c r="U5" s="3"/>
      <c r="V5" s="3"/>
      <c r="W5" s="3"/>
      <c r="X5" s="3"/>
      <c r="Y5" s="3"/>
      <c r="Z5" s="3"/>
      <c r="AA5" s="3"/>
      <c r="AB5" s="3"/>
    </row>
    <row r="6" spans="1:28" s="4" customFormat="1" ht="27" customHeight="1" thickBot="1">
      <c r="A6" s="21" t="s">
        <v>68</v>
      </c>
      <c r="B6" s="21" t="s">
        <v>71</v>
      </c>
      <c r="C6" s="21" t="s">
        <v>72</v>
      </c>
      <c r="D6" s="67" t="s">
        <v>69</v>
      </c>
      <c r="E6" s="21" t="s">
        <v>67</v>
      </c>
      <c r="F6" s="21" t="s">
        <v>70</v>
      </c>
      <c r="G6" s="3"/>
      <c r="H6" s="3"/>
      <c r="I6" s="3"/>
      <c r="J6" s="3"/>
      <c r="K6" s="3"/>
      <c r="L6" s="3"/>
      <c r="M6" s="3"/>
      <c r="N6" s="3"/>
      <c r="O6" s="3"/>
      <c r="P6" s="3"/>
      <c r="Q6" s="3"/>
      <c r="R6" s="3"/>
      <c r="S6" s="3"/>
      <c r="T6" s="3"/>
      <c r="U6" s="3"/>
      <c r="V6" s="3"/>
      <c r="W6" s="3"/>
      <c r="X6" s="3"/>
      <c r="Y6" s="3"/>
      <c r="Z6" s="3"/>
      <c r="AA6" s="3"/>
      <c r="AB6" s="3"/>
    </row>
    <row r="7" spans="1:28" s="6" customFormat="1" ht="12">
      <c r="A7" s="9" t="str">
        <f>'Staffing Year 1'!A7</f>
        <v>Regular Ed Instructors</v>
      </c>
      <c r="B7" s="69">
        <f>'TBLA Expense'!D9+'TBLA Expense'!K9</f>
        <v>53.65304681932138</v>
      </c>
      <c r="C7" s="69">
        <f>D7/B7</f>
        <v>41422.82965407666</v>
      </c>
      <c r="D7" s="69">
        <f>J7</f>
        <v>2222461.0188189493</v>
      </c>
      <c r="E7" s="69">
        <f aca="true" t="shared" si="0" ref="E7:E46">D7*$G$5</f>
        <v>622289.0852693059</v>
      </c>
      <c r="F7" s="70">
        <f>D7+E7</f>
        <v>2844750.104088255</v>
      </c>
      <c r="G7" s="3"/>
      <c r="H7" s="278">
        <f>'TBLA Expense'!D9*'TBLA Expense'!D36</f>
        <v>1136693.792216626</v>
      </c>
      <c r="I7" s="278">
        <f>'TBLA Expense'!K9*'TBLA Expense'!K36</f>
        <v>1085767.2266023234</v>
      </c>
      <c r="J7" s="278">
        <f>H7+I7</f>
        <v>2222461.0188189493</v>
      </c>
      <c r="K7" s="3"/>
      <c r="L7" s="3"/>
      <c r="M7" s="3"/>
      <c r="N7" s="3"/>
      <c r="O7" s="3"/>
      <c r="P7" s="3"/>
      <c r="Q7" s="3"/>
      <c r="R7" s="3"/>
      <c r="S7" s="3"/>
      <c r="T7" s="3"/>
      <c r="U7" s="3"/>
      <c r="V7" s="3"/>
      <c r="W7" s="3"/>
      <c r="X7" s="3"/>
      <c r="Y7" s="3"/>
      <c r="Z7" s="3"/>
      <c r="AA7" s="3"/>
      <c r="AB7" s="3"/>
    </row>
    <row r="8" spans="1:28" s="6" customFormat="1" ht="12">
      <c r="A8" s="9" t="str">
        <f>'Staffing Year 1'!A8</f>
        <v>Teachers Assistants</v>
      </c>
      <c r="B8" s="69">
        <f>'TBLA Expense'!D10+'TBLA Expense'!K10</f>
        <v>20.319109900599734</v>
      </c>
      <c r="C8" s="69">
        <f aca="true" t="shared" si="1" ref="C8:C25">D8/B8</f>
        <v>23034.445097534128</v>
      </c>
      <c r="D8" s="69">
        <f aca="true" t="shared" si="2" ref="D8:D26">J8</f>
        <v>468039.4214361267</v>
      </c>
      <c r="E8" s="69">
        <f t="shared" si="0"/>
        <v>131051.03800211549</v>
      </c>
      <c r="F8" s="70">
        <f aca="true" t="shared" si="3" ref="F8:F46">D8+E8</f>
        <v>599090.4594382421</v>
      </c>
      <c r="G8" s="3"/>
      <c r="H8" s="278">
        <f>'TBLA Expense'!D10*'TBLA Expense'!D37</f>
        <v>347551.26344601135</v>
      </c>
      <c r="I8" s="278">
        <f>'TBLA Expense'!K10*'TBLA Expense'!K37</f>
        <v>120488.15799011532</v>
      </c>
      <c r="J8" s="278">
        <f aca="true" t="shared" si="4" ref="J8:J26">H8+I8</f>
        <v>468039.4214361267</v>
      </c>
      <c r="K8" s="3"/>
      <c r="L8" s="3"/>
      <c r="M8" s="3"/>
      <c r="N8" s="3"/>
      <c r="O8" s="3"/>
      <c r="P8" s="3"/>
      <c r="Q8" s="3"/>
      <c r="R8" s="3"/>
      <c r="S8" s="3"/>
      <c r="T8" s="3"/>
      <c r="U8" s="3"/>
      <c r="V8" s="3"/>
      <c r="W8" s="3"/>
      <c r="X8" s="3"/>
      <c r="Y8" s="3"/>
      <c r="Z8" s="3"/>
      <c r="AA8" s="3"/>
      <c r="AB8" s="3"/>
    </row>
    <row r="9" spans="1:28" s="6" customFormat="1" ht="12">
      <c r="A9" s="9" t="str">
        <f>'Staffing Year 1'!A9</f>
        <v>Special Ed Instructors</v>
      </c>
      <c r="B9" s="69">
        <f>'TBLA Expense'!D11+'TBLA Expense'!K11</f>
        <v>8.117739130434781</v>
      </c>
      <c r="C9" s="69">
        <f t="shared" si="1"/>
        <v>42290.79110268441</v>
      </c>
      <c r="D9" s="69">
        <f t="shared" si="2"/>
        <v>343305.60979130433</v>
      </c>
      <c r="E9" s="69">
        <f t="shared" si="0"/>
        <v>96125.57074156523</v>
      </c>
      <c r="F9" s="70">
        <f t="shared" si="3"/>
        <v>439431.18053286953</v>
      </c>
      <c r="G9" s="3"/>
      <c r="H9" s="278">
        <f>'TBLA Expense'!D11*'TBLA Expense'!D38</f>
        <v>166241.1924</v>
      </c>
      <c r="I9" s="278">
        <f>'TBLA Expense'!K11*'TBLA Expense'!K38</f>
        <v>177064.41739130436</v>
      </c>
      <c r="J9" s="278">
        <f t="shared" si="4"/>
        <v>343305.60979130433</v>
      </c>
      <c r="K9" s="3"/>
      <c r="L9" s="3"/>
      <c r="M9" s="3"/>
      <c r="N9" s="3"/>
      <c r="O9" s="3"/>
      <c r="P9" s="3"/>
      <c r="Q9" s="3"/>
      <c r="R9" s="3"/>
      <c r="S9" s="3"/>
      <c r="T9" s="3"/>
      <c r="U9" s="3"/>
      <c r="V9" s="3"/>
      <c r="W9" s="3"/>
      <c r="X9" s="3"/>
      <c r="Y9" s="3"/>
      <c r="Z9" s="3"/>
      <c r="AA9" s="3"/>
      <c r="AB9" s="3"/>
    </row>
    <row r="10" spans="1:10" ht="12">
      <c r="A10" s="9" t="str">
        <f>'Staffing Year 1'!A10</f>
        <v>Specials Instructors (Music, Art, Spanish, PE)</v>
      </c>
      <c r="B10" s="69">
        <f>'TBLA Expense'!D12+'TBLA Expense'!K12</f>
        <v>19.662809170108453</v>
      </c>
      <c r="C10" s="69">
        <f t="shared" si="1"/>
        <v>43154.46799911584</v>
      </c>
      <c r="D10" s="69">
        <f t="shared" si="2"/>
        <v>848538.0691041667</v>
      </c>
      <c r="E10" s="69">
        <f t="shared" si="0"/>
        <v>237590.6593491667</v>
      </c>
      <c r="F10" s="70">
        <f t="shared" si="3"/>
        <v>1086128.7284533335</v>
      </c>
      <c r="H10" s="278">
        <f>'TBLA Expense'!D12*'TBLA Expense'!D39</f>
        <v>228394.33000000002</v>
      </c>
      <c r="I10" s="278">
        <f>'TBLA Expense'!K12*'TBLA Expense'!K39</f>
        <v>620143.7391041667</v>
      </c>
      <c r="J10" s="278">
        <f t="shared" si="4"/>
        <v>848538.0691041667</v>
      </c>
    </row>
    <row r="11" spans="1:10" ht="12">
      <c r="A11" s="9" t="str">
        <f>'Staffing Year 1'!A11</f>
        <v>Library</v>
      </c>
      <c r="B11" s="69">
        <f>'TBLA Expense'!D13+'TBLA Expense'!K13</f>
        <v>0</v>
      </c>
      <c r="C11" s="69">
        <v>0</v>
      </c>
      <c r="D11" s="69">
        <f t="shared" si="2"/>
        <v>0</v>
      </c>
      <c r="E11" s="69">
        <f t="shared" si="0"/>
        <v>0</v>
      </c>
      <c r="F11" s="70">
        <f t="shared" si="3"/>
        <v>0</v>
      </c>
      <c r="G11" s="251"/>
      <c r="H11" s="278">
        <f>'TBLA Expense'!D13*'TBLA Expense'!D40</f>
        <v>0</v>
      </c>
      <c r="I11" s="278">
        <f>'TBLA Expense'!K13*'TBLA Expense'!K40</f>
        <v>0</v>
      </c>
      <c r="J11" s="278">
        <f t="shared" si="4"/>
        <v>0</v>
      </c>
    </row>
    <row r="12" spans="1:10" ht="12">
      <c r="A12" s="9" t="str">
        <f>'Staffing Year 1'!A12</f>
        <v>Reading Intervention/Resource Teacher/HA Coord/Ac. Coach</v>
      </c>
      <c r="B12" s="69">
        <f>'TBLA Expense'!D14+'TBLA Expense'!K14</f>
        <v>3</v>
      </c>
      <c r="C12" s="69">
        <f t="shared" si="1"/>
        <v>28129.51</v>
      </c>
      <c r="D12" s="69">
        <f t="shared" si="2"/>
        <v>84388.53</v>
      </c>
      <c r="E12" s="69">
        <f t="shared" si="0"/>
        <v>23628.7884</v>
      </c>
      <c r="F12" s="70">
        <f t="shared" si="3"/>
        <v>108017.3184</v>
      </c>
      <c r="H12" s="278">
        <f>'TBLA Expense'!D14*'TBLA Expense'!D41</f>
        <v>0</v>
      </c>
      <c r="I12" s="278">
        <f>'TBLA Expense'!K14*'TBLA Expense'!K41</f>
        <v>84388.53</v>
      </c>
      <c r="J12" s="278">
        <f t="shared" si="4"/>
        <v>84388.53</v>
      </c>
    </row>
    <row r="13" spans="1:10" ht="12">
      <c r="A13" s="9" t="str">
        <f>'Staffing Year 1'!A13</f>
        <v>Additional Teachers (account for uneven splits)/Title I Teachers</v>
      </c>
      <c r="B13" s="69">
        <f>'TBLA Expense'!D15+'TBLA Expense'!K15</f>
        <v>5</v>
      </c>
      <c r="C13" s="69">
        <f t="shared" si="1"/>
        <v>41187.62176763077</v>
      </c>
      <c r="D13" s="69">
        <f t="shared" si="2"/>
        <v>205938.10883815386</v>
      </c>
      <c r="E13" s="69">
        <f t="shared" si="0"/>
        <v>57662.67047468309</v>
      </c>
      <c r="F13" s="70">
        <f t="shared" si="3"/>
        <v>263600.77931283694</v>
      </c>
      <c r="H13" s="278">
        <f>'TBLA Expense'!D15*'TBLA Expense'!D42</f>
        <v>80800</v>
      </c>
      <c r="I13" s="278">
        <f>'TBLA Expense'!K15*'TBLA Expense'!K42</f>
        <v>125138.10883815386</v>
      </c>
      <c r="J13" s="278">
        <f t="shared" si="4"/>
        <v>205938.10883815386</v>
      </c>
    </row>
    <row r="14" spans="1:10" ht="12">
      <c r="A14" s="9" t="str">
        <f>'Staffing Year 1'!A14</f>
        <v>Teaching Fellows/Interns</v>
      </c>
      <c r="B14" s="69">
        <f>'TBLA Expense'!D16+'TBLA Expense'!K16</f>
        <v>0</v>
      </c>
      <c r="C14" s="69"/>
      <c r="D14" s="69">
        <f t="shared" si="2"/>
        <v>0</v>
      </c>
      <c r="E14" s="69">
        <f t="shared" si="0"/>
        <v>0</v>
      </c>
      <c r="F14" s="70">
        <f t="shared" si="3"/>
        <v>0</v>
      </c>
      <c r="H14" s="278">
        <f>'TBLA Expense'!D16*'TBLA Expense'!D43</f>
        <v>0</v>
      </c>
      <c r="I14" s="278">
        <f>'TBLA Expense'!K16*'TBLA Expense'!K43</f>
        <v>0</v>
      </c>
      <c r="J14" s="278">
        <f t="shared" si="4"/>
        <v>0</v>
      </c>
    </row>
    <row r="15" spans="1:28" s="6" customFormat="1" ht="12">
      <c r="A15" s="9" t="str">
        <f>'Staffing Year 1'!A15</f>
        <v>Additional Tas / Special Ed Para Professionals</v>
      </c>
      <c r="B15" s="69">
        <f>'TBLA Expense'!D17+'TBLA Expense'!K17</f>
        <v>11.572085442552538</v>
      </c>
      <c r="C15" s="69">
        <f t="shared" si="1"/>
        <v>20262.703600318277</v>
      </c>
      <c r="D15" s="69">
        <f t="shared" si="2"/>
        <v>234481.73736000003</v>
      </c>
      <c r="E15" s="69">
        <f t="shared" si="0"/>
        <v>65654.88646080001</v>
      </c>
      <c r="F15" s="70">
        <f t="shared" si="3"/>
        <v>300136.62382080004</v>
      </c>
      <c r="G15" s="3"/>
      <c r="H15" s="278">
        <f>'TBLA Expense'!D17*'TBLA Expense'!D44</f>
        <v>106164.87336000001</v>
      </c>
      <c r="I15" s="278">
        <f>'TBLA Expense'!K17*'TBLA Expense'!K44</f>
        <v>128316.86400000002</v>
      </c>
      <c r="J15" s="278">
        <f t="shared" si="4"/>
        <v>234481.73736000003</v>
      </c>
      <c r="K15" s="3"/>
      <c r="L15" s="3"/>
      <c r="M15" s="3"/>
      <c r="N15" s="3"/>
      <c r="O15" s="3"/>
      <c r="P15" s="3"/>
      <c r="Q15" s="3"/>
      <c r="R15" s="3"/>
      <c r="S15" s="3"/>
      <c r="T15" s="3"/>
      <c r="U15" s="3"/>
      <c r="V15" s="3"/>
      <c r="W15" s="3"/>
      <c r="X15" s="3"/>
      <c r="Y15" s="3"/>
      <c r="Z15" s="3"/>
      <c r="AA15" s="3"/>
      <c r="AB15" s="3"/>
    </row>
    <row r="16" spans="1:10" ht="12">
      <c r="A16" s="9" t="str">
        <f>'Staffing Year 1'!A16</f>
        <v>Enrollment Coordinator</v>
      </c>
      <c r="B16" s="69">
        <f>'TBLA Expense'!D18+'TBLA Expense'!K18</f>
        <v>0</v>
      </c>
      <c r="C16" s="69"/>
      <c r="D16" s="69">
        <f t="shared" si="2"/>
        <v>0</v>
      </c>
      <c r="E16" s="69">
        <f t="shared" si="0"/>
        <v>0</v>
      </c>
      <c r="F16" s="70">
        <f t="shared" si="3"/>
        <v>0</v>
      </c>
      <c r="H16" s="278">
        <f>'TBLA Expense'!D18*'TBLA Expense'!D45</f>
        <v>0</v>
      </c>
      <c r="I16" s="278">
        <f>'TBLA Expense'!K18*'TBLA Expense'!K45</f>
        <v>0</v>
      </c>
      <c r="J16" s="278">
        <f t="shared" si="4"/>
        <v>0</v>
      </c>
    </row>
    <row r="17" spans="1:10" ht="12">
      <c r="A17" s="9" t="str">
        <f>'Staffing Year 1'!A17</f>
        <v>Principals</v>
      </c>
      <c r="B17" s="69">
        <f>'TBLA Expense'!D19+'TBLA Expense'!K19</f>
        <v>2</v>
      </c>
      <c r="C17" s="69">
        <f t="shared" si="1"/>
        <v>92415</v>
      </c>
      <c r="D17" s="69">
        <f t="shared" si="2"/>
        <v>184830</v>
      </c>
      <c r="E17" s="69">
        <f t="shared" si="0"/>
        <v>51752.4</v>
      </c>
      <c r="F17" s="70">
        <f t="shared" si="3"/>
        <v>236582.4</v>
      </c>
      <c r="H17" s="278">
        <f>'TBLA Expense'!D19*'TBLA Expense'!D46</f>
        <v>85850</v>
      </c>
      <c r="I17" s="278">
        <f>'TBLA Expense'!K19*'TBLA Expense'!K46</f>
        <v>98980</v>
      </c>
      <c r="J17" s="278">
        <f t="shared" si="4"/>
        <v>184830</v>
      </c>
    </row>
    <row r="18" spans="1:10" ht="12">
      <c r="A18" s="9" t="str">
        <f>'Staffing Year 1'!A18</f>
        <v>Assistant Principals/Instructional Coaches</v>
      </c>
      <c r="B18" s="69">
        <f>'TBLA Expense'!D20+'TBLA Expense'!K20</f>
        <v>4</v>
      </c>
      <c r="C18" s="69">
        <f t="shared" si="1"/>
        <v>55454.05</v>
      </c>
      <c r="D18" s="69">
        <f t="shared" si="2"/>
        <v>221816.2</v>
      </c>
      <c r="E18" s="69">
        <f t="shared" si="0"/>
        <v>62108.53600000001</v>
      </c>
      <c r="F18" s="70">
        <f t="shared" si="3"/>
        <v>283924.73600000003</v>
      </c>
      <c r="H18" s="278">
        <f>'TBLA Expense'!D20*'TBLA Expense'!D47</f>
        <v>85466.2</v>
      </c>
      <c r="I18" s="278">
        <f>'TBLA Expense'!K20*'TBLA Expense'!K47</f>
        <v>136350</v>
      </c>
      <c r="J18" s="278">
        <f t="shared" si="4"/>
        <v>221816.2</v>
      </c>
    </row>
    <row r="19" spans="1:10" ht="12">
      <c r="A19" s="9" t="str">
        <f>'Staffing Year 1'!A19</f>
        <v>Director of Operations</v>
      </c>
      <c r="B19" s="69">
        <f>'TBLA Expense'!D21+'TBLA Expense'!K21</f>
        <v>0</v>
      </c>
      <c r="C19" s="69"/>
      <c r="D19" s="69">
        <f t="shared" si="2"/>
        <v>0</v>
      </c>
      <c r="E19" s="69">
        <f t="shared" si="0"/>
        <v>0</v>
      </c>
      <c r="F19" s="70">
        <f t="shared" si="3"/>
        <v>0</v>
      </c>
      <c r="H19" s="278">
        <f>'TBLA Expense'!D21*'TBLA Expense'!D48</f>
        <v>0</v>
      </c>
      <c r="I19" s="278">
        <f>'TBLA Expense'!K21*'TBLA Expense'!K48</f>
        <v>0</v>
      </c>
      <c r="J19" s="278">
        <f t="shared" si="4"/>
        <v>0</v>
      </c>
    </row>
    <row r="20" spans="1:10" ht="12">
      <c r="A20" s="9" t="str">
        <f>'Staffing Year 1'!A20</f>
        <v>Custodial</v>
      </c>
      <c r="B20" s="69">
        <f>'TBLA Expense'!D22+'TBLA Expense'!K22</f>
        <v>13</v>
      </c>
      <c r="C20" s="69">
        <f t="shared" si="1"/>
        <v>27414.818461538463</v>
      </c>
      <c r="D20" s="69">
        <f t="shared" si="2"/>
        <v>356392.64</v>
      </c>
      <c r="E20" s="69">
        <f t="shared" si="0"/>
        <v>99789.93920000001</v>
      </c>
      <c r="F20" s="70">
        <f t="shared" si="3"/>
        <v>456182.57920000004</v>
      </c>
      <c r="H20" s="278">
        <f>'TBLA Expense'!D22*'TBLA Expense'!D49</f>
        <v>160926.93600000002</v>
      </c>
      <c r="I20" s="278">
        <f>'TBLA Expense'!K22*'TBLA Expense'!K49</f>
        <v>195465.70400000003</v>
      </c>
      <c r="J20" s="278">
        <f t="shared" si="4"/>
        <v>356392.64</v>
      </c>
    </row>
    <row r="21" spans="1:10" ht="12">
      <c r="A21" s="9" t="str">
        <f>'Staffing Year 1'!A21</f>
        <v>Administrative/Clerical Staff</v>
      </c>
      <c r="B21" s="69">
        <f>'TBLA Expense'!D23+'TBLA Expense'!K23</f>
        <v>5</v>
      </c>
      <c r="C21" s="69">
        <f t="shared" si="1"/>
        <v>42155.35575999999</v>
      </c>
      <c r="D21" s="69">
        <f t="shared" si="2"/>
        <v>210776.77879999997</v>
      </c>
      <c r="E21" s="69">
        <f t="shared" si="0"/>
        <v>59017.498064</v>
      </c>
      <c r="F21" s="70">
        <f t="shared" si="3"/>
        <v>269794.27686399996</v>
      </c>
      <c r="H21" s="278">
        <f>'TBLA Expense'!D23*'TBLA Expense'!D50</f>
        <v>94897.58</v>
      </c>
      <c r="I21" s="278">
        <f>'TBLA Expense'!K23*'TBLA Expense'!K50</f>
        <v>115879.19879999998</v>
      </c>
      <c r="J21" s="278">
        <f t="shared" si="4"/>
        <v>210776.77879999997</v>
      </c>
    </row>
    <row r="22" spans="1:10" ht="12">
      <c r="A22" s="9" t="str">
        <f>'Staffing Year 1'!A22</f>
        <v>Other student services staff (Social Worker/Counselor)</v>
      </c>
      <c r="B22" s="69">
        <f>'TBLA Expense'!D24+'TBLA Expense'!K24</f>
        <v>6.221643171087212</v>
      </c>
      <c r="C22" s="69">
        <f t="shared" si="1"/>
        <v>36139.70215214199</v>
      </c>
      <c r="D22" s="69">
        <f t="shared" si="2"/>
        <v>224848.3311</v>
      </c>
      <c r="E22" s="69">
        <f t="shared" si="0"/>
        <v>62957.532708000006</v>
      </c>
      <c r="F22" s="70">
        <f t="shared" si="3"/>
        <v>287805.863808</v>
      </c>
      <c r="H22" s="278">
        <f>'TBLA Expense'!D24*'TBLA Expense'!D51</f>
        <v>35433.83</v>
      </c>
      <c r="I22" s="278">
        <f>'TBLA Expense'!K24*'TBLA Expense'!K51</f>
        <v>189414.5011</v>
      </c>
      <c r="J22" s="278">
        <f t="shared" si="4"/>
        <v>224848.3311</v>
      </c>
    </row>
    <row r="23" spans="1:28" s="6" customFormat="1" ht="12">
      <c r="A23" s="9" t="str">
        <f>'Staffing Year 1'!A23</f>
        <v>Behavioral Coordinator/Non-Instructional Aide</v>
      </c>
      <c r="B23" s="69">
        <f>'TBLA Expense'!D25+'TBLA Expense'!K25</f>
        <v>5</v>
      </c>
      <c r="C23" s="69">
        <f t="shared" si="1"/>
        <v>23256.60946</v>
      </c>
      <c r="D23" s="69">
        <f t="shared" si="2"/>
        <v>116283.0473</v>
      </c>
      <c r="E23" s="69">
        <f t="shared" si="0"/>
        <v>32559.253244000003</v>
      </c>
      <c r="F23" s="70">
        <f t="shared" si="3"/>
        <v>148842.300544</v>
      </c>
      <c r="G23" s="3"/>
      <c r="H23" s="278">
        <f>'TBLA Expense'!D25*'TBLA Expense'!D52</f>
        <v>48934.5</v>
      </c>
      <c r="I23" s="278">
        <f>'TBLA Expense'!K25*'TBLA Expense'!K52</f>
        <v>67348.5473</v>
      </c>
      <c r="J23" s="278">
        <f t="shared" si="4"/>
        <v>116283.0473</v>
      </c>
      <c r="K23" s="3"/>
      <c r="L23" s="3"/>
      <c r="M23" s="3"/>
      <c r="N23" s="3"/>
      <c r="O23" s="3"/>
      <c r="P23" s="3"/>
      <c r="Q23" s="3"/>
      <c r="R23" s="3"/>
      <c r="S23" s="3"/>
      <c r="T23" s="3"/>
      <c r="U23" s="3"/>
      <c r="V23" s="3"/>
      <c r="W23" s="3"/>
      <c r="X23" s="3"/>
      <c r="Y23" s="3"/>
      <c r="Z23" s="3"/>
      <c r="AA23" s="3"/>
      <c r="AB23" s="3"/>
    </row>
    <row r="24" spans="1:10" ht="12">
      <c r="A24" s="9" t="str">
        <f>'Staffing Year 1'!A24</f>
        <v>Nurse</v>
      </c>
      <c r="B24" s="69">
        <f>'TBLA Expense'!D26+'TBLA Expense'!K26</f>
        <v>1</v>
      </c>
      <c r="C24" s="69">
        <f t="shared" si="1"/>
        <v>49742.5</v>
      </c>
      <c r="D24" s="69">
        <f t="shared" si="2"/>
        <v>49742.5</v>
      </c>
      <c r="E24" s="69">
        <f t="shared" si="0"/>
        <v>13927.900000000001</v>
      </c>
      <c r="F24" s="70">
        <f t="shared" si="3"/>
        <v>63670.4</v>
      </c>
      <c r="H24" s="278">
        <f>'TBLA Expense'!D26*'TBLA Expense'!D53</f>
        <v>49742.5</v>
      </c>
      <c r="I24" s="278">
        <f>'TBLA Expense'!K26*'TBLA Expense'!K53</f>
        <v>0</v>
      </c>
      <c r="J24" s="278">
        <f t="shared" si="4"/>
        <v>49742.5</v>
      </c>
    </row>
    <row r="25" spans="1:10" ht="12">
      <c r="A25" s="9" t="str">
        <f>'Staffing Year 1'!A25</f>
        <v>Dean of Scholars</v>
      </c>
      <c r="B25" s="69">
        <f>'TBLA Expense'!D27+'TBLA Expense'!K27</f>
        <v>3.2382980281754614</v>
      </c>
      <c r="C25" s="69">
        <f t="shared" si="1"/>
        <v>45151.50314388471</v>
      </c>
      <c r="D25" s="69">
        <f t="shared" si="2"/>
        <v>146214.0236</v>
      </c>
      <c r="E25" s="69">
        <f t="shared" si="0"/>
        <v>40939.926608</v>
      </c>
      <c r="F25" s="70">
        <f t="shared" si="3"/>
        <v>187153.950208</v>
      </c>
      <c r="H25" s="278">
        <f>'TBLA Expense'!D27*'TBLA Expense'!D54</f>
        <v>47443.74</v>
      </c>
      <c r="I25" s="278">
        <f>'TBLA Expense'!K27*'TBLA Expense'!K54</f>
        <v>98770.2836</v>
      </c>
      <c r="J25" s="278">
        <f t="shared" si="4"/>
        <v>146214.0236</v>
      </c>
    </row>
    <row r="26" spans="1:10" ht="12">
      <c r="A26" s="9" t="str">
        <f>'Staffing Year 1'!A26</f>
        <v>Director of Special Education</v>
      </c>
      <c r="B26" s="69">
        <f>'TBLA Expense'!D28+'TBLA Expense'!K28</f>
        <v>0</v>
      </c>
      <c r="C26" s="69"/>
      <c r="D26" s="69">
        <f t="shared" si="2"/>
        <v>0</v>
      </c>
      <c r="E26" s="69">
        <f t="shared" si="0"/>
        <v>0</v>
      </c>
      <c r="F26" s="70">
        <f t="shared" si="3"/>
        <v>0</v>
      </c>
      <c r="H26" s="278">
        <f>'TBLA Expense'!D28*'TBLA Expense'!D55</f>
        <v>0</v>
      </c>
      <c r="I26" s="278">
        <f>'TBLA Expense'!K28*'TBLA Expense'!K55</f>
        <v>0</v>
      </c>
      <c r="J26" s="278">
        <f t="shared" si="4"/>
        <v>0</v>
      </c>
    </row>
    <row r="27" spans="1:10" ht="12">
      <c r="A27" s="55"/>
      <c r="B27" s="55"/>
      <c r="C27" s="97"/>
      <c r="D27" s="69">
        <f aca="true" t="shared" si="5" ref="D27:D46">B27*C27</f>
        <v>0</v>
      </c>
      <c r="E27" s="69">
        <f t="shared" si="0"/>
        <v>0</v>
      </c>
      <c r="F27" s="70">
        <f t="shared" si="3"/>
        <v>0</v>
      </c>
      <c r="H27" s="278">
        <f>'TBLA Expense'!D29*'TBLA Expense'!D56</f>
        <v>0</v>
      </c>
      <c r="I27" s="278">
        <f>'TBLA Expense'!K29*'TBLA Expense'!K56</f>
        <v>0</v>
      </c>
      <c r="J27" s="99"/>
    </row>
    <row r="28" spans="1:6" ht="12">
      <c r="A28" s="55"/>
      <c r="B28" s="55"/>
      <c r="C28" s="97"/>
      <c r="D28" s="69">
        <f t="shared" si="5"/>
        <v>0</v>
      </c>
      <c r="E28" s="69">
        <f t="shared" si="0"/>
        <v>0</v>
      </c>
      <c r="F28" s="70">
        <f t="shared" si="3"/>
        <v>0</v>
      </c>
    </row>
    <row r="29" spans="1:6" ht="12">
      <c r="A29" s="55"/>
      <c r="B29" s="55"/>
      <c r="C29" s="97"/>
      <c r="D29" s="69">
        <f t="shared" si="5"/>
        <v>0</v>
      </c>
      <c r="E29" s="69">
        <f t="shared" si="0"/>
        <v>0</v>
      </c>
      <c r="F29" s="70">
        <f t="shared" si="3"/>
        <v>0</v>
      </c>
    </row>
    <row r="30" spans="1:6" ht="12">
      <c r="A30" s="55"/>
      <c r="B30" s="55"/>
      <c r="C30" s="97"/>
      <c r="D30" s="69">
        <f t="shared" si="5"/>
        <v>0</v>
      </c>
      <c r="E30" s="69">
        <f t="shared" si="0"/>
        <v>0</v>
      </c>
      <c r="F30" s="70">
        <f t="shared" si="3"/>
        <v>0</v>
      </c>
    </row>
    <row r="31" spans="1:6" ht="12">
      <c r="A31" s="55"/>
      <c r="B31" s="55"/>
      <c r="C31" s="97"/>
      <c r="D31" s="69">
        <f t="shared" si="5"/>
        <v>0</v>
      </c>
      <c r="E31" s="69">
        <f t="shared" si="0"/>
        <v>0</v>
      </c>
      <c r="F31" s="70">
        <f t="shared" si="3"/>
        <v>0</v>
      </c>
    </row>
    <row r="32" spans="1:6" ht="12">
      <c r="A32" s="55"/>
      <c r="B32" s="55"/>
      <c r="C32" s="97"/>
      <c r="D32" s="69">
        <f t="shared" si="5"/>
        <v>0</v>
      </c>
      <c r="E32" s="69">
        <f t="shared" si="0"/>
        <v>0</v>
      </c>
      <c r="F32" s="70">
        <f t="shared" si="3"/>
        <v>0</v>
      </c>
    </row>
    <row r="33" spans="1:6" ht="12">
      <c r="A33" s="55"/>
      <c r="B33" s="55"/>
      <c r="C33" s="97"/>
      <c r="D33" s="69">
        <f t="shared" si="5"/>
        <v>0</v>
      </c>
      <c r="E33" s="69">
        <f t="shared" si="0"/>
        <v>0</v>
      </c>
      <c r="F33" s="70">
        <f t="shared" si="3"/>
        <v>0</v>
      </c>
    </row>
    <row r="34" spans="1:6" ht="12">
      <c r="A34" s="55"/>
      <c r="B34" s="55"/>
      <c r="C34" s="97"/>
      <c r="D34" s="69">
        <f t="shared" si="5"/>
        <v>0</v>
      </c>
      <c r="E34" s="69">
        <f t="shared" si="0"/>
        <v>0</v>
      </c>
      <c r="F34" s="70">
        <f t="shared" si="3"/>
        <v>0</v>
      </c>
    </row>
    <row r="35" spans="1:6" ht="12">
      <c r="A35" s="55"/>
      <c r="B35" s="55"/>
      <c r="C35" s="97"/>
      <c r="D35" s="69">
        <f t="shared" si="5"/>
        <v>0</v>
      </c>
      <c r="E35" s="69">
        <f t="shared" si="0"/>
        <v>0</v>
      </c>
      <c r="F35" s="70">
        <f t="shared" si="3"/>
        <v>0</v>
      </c>
    </row>
    <row r="36" spans="1:6" ht="12">
      <c r="A36" s="55"/>
      <c r="B36" s="55"/>
      <c r="C36" s="97"/>
      <c r="D36" s="69">
        <f t="shared" si="5"/>
        <v>0</v>
      </c>
      <c r="E36" s="69">
        <f t="shared" si="0"/>
        <v>0</v>
      </c>
      <c r="F36" s="70">
        <f t="shared" si="3"/>
        <v>0</v>
      </c>
    </row>
    <row r="37" spans="1:6" ht="12">
      <c r="A37" s="55"/>
      <c r="B37" s="55"/>
      <c r="C37" s="97"/>
      <c r="D37" s="69">
        <f t="shared" si="5"/>
        <v>0</v>
      </c>
      <c r="E37" s="69">
        <f t="shared" si="0"/>
        <v>0</v>
      </c>
      <c r="F37" s="70">
        <f t="shared" si="3"/>
        <v>0</v>
      </c>
    </row>
    <row r="38" spans="1:6" ht="12">
      <c r="A38" s="55"/>
      <c r="B38" s="55"/>
      <c r="C38" s="97"/>
      <c r="D38" s="69">
        <f t="shared" si="5"/>
        <v>0</v>
      </c>
      <c r="E38" s="69">
        <f t="shared" si="0"/>
        <v>0</v>
      </c>
      <c r="F38" s="70">
        <f t="shared" si="3"/>
        <v>0</v>
      </c>
    </row>
    <row r="39" spans="1:6" ht="12">
      <c r="A39" s="55"/>
      <c r="B39" s="55"/>
      <c r="C39" s="97"/>
      <c r="D39" s="69">
        <f t="shared" si="5"/>
        <v>0</v>
      </c>
      <c r="E39" s="69">
        <f t="shared" si="0"/>
        <v>0</v>
      </c>
      <c r="F39" s="70">
        <f t="shared" si="3"/>
        <v>0</v>
      </c>
    </row>
    <row r="40" spans="1:6" ht="12">
      <c r="A40" s="55"/>
      <c r="B40" s="55"/>
      <c r="C40" s="97"/>
      <c r="D40" s="69">
        <f t="shared" si="5"/>
        <v>0</v>
      </c>
      <c r="E40" s="69">
        <f t="shared" si="0"/>
        <v>0</v>
      </c>
      <c r="F40" s="70">
        <f t="shared" si="3"/>
        <v>0</v>
      </c>
    </row>
    <row r="41" spans="1:6" ht="12">
      <c r="A41" s="55"/>
      <c r="B41" s="55"/>
      <c r="C41" s="97"/>
      <c r="D41" s="69">
        <f t="shared" si="5"/>
        <v>0</v>
      </c>
      <c r="E41" s="69">
        <f t="shared" si="0"/>
        <v>0</v>
      </c>
      <c r="F41" s="70">
        <f t="shared" si="3"/>
        <v>0</v>
      </c>
    </row>
    <row r="42" spans="1:6" ht="12">
      <c r="A42" s="100"/>
      <c r="B42" s="100"/>
      <c r="C42" s="101"/>
      <c r="D42" s="69">
        <f t="shared" si="5"/>
        <v>0</v>
      </c>
      <c r="E42" s="69">
        <f t="shared" si="0"/>
        <v>0</v>
      </c>
      <c r="F42" s="70">
        <f t="shared" si="3"/>
        <v>0</v>
      </c>
    </row>
    <row r="43" spans="1:6" ht="12">
      <c r="A43" s="100"/>
      <c r="B43" s="100"/>
      <c r="C43" s="101"/>
      <c r="D43" s="69">
        <f t="shared" si="5"/>
        <v>0</v>
      </c>
      <c r="E43" s="69">
        <f t="shared" si="0"/>
        <v>0</v>
      </c>
      <c r="F43" s="70">
        <f t="shared" si="3"/>
        <v>0</v>
      </c>
    </row>
    <row r="44" spans="1:6" ht="12">
      <c r="A44" s="100"/>
      <c r="B44" s="100"/>
      <c r="C44" s="101"/>
      <c r="D44" s="69">
        <f t="shared" si="5"/>
        <v>0</v>
      </c>
      <c r="E44" s="69">
        <f t="shared" si="0"/>
        <v>0</v>
      </c>
      <c r="F44" s="70">
        <f t="shared" si="3"/>
        <v>0</v>
      </c>
    </row>
    <row r="45" spans="1:6" ht="12">
      <c r="A45" s="100"/>
      <c r="B45" s="100"/>
      <c r="C45" s="101"/>
      <c r="D45" s="69">
        <f t="shared" si="5"/>
        <v>0</v>
      </c>
      <c r="E45" s="69">
        <f t="shared" si="0"/>
        <v>0</v>
      </c>
      <c r="F45" s="70">
        <f t="shared" si="3"/>
        <v>0</v>
      </c>
    </row>
    <row r="46" spans="1:6" ht="12.75" thickBot="1">
      <c r="A46" s="100"/>
      <c r="B46" s="100"/>
      <c r="C46" s="101"/>
      <c r="D46" s="69">
        <f t="shared" si="5"/>
        <v>0</v>
      </c>
      <c r="E46" s="69">
        <f t="shared" si="0"/>
        <v>0</v>
      </c>
      <c r="F46" s="70">
        <f t="shared" si="3"/>
        <v>0</v>
      </c>
    </row>
    <row r="47" spans="1:6" ht="12.75" thickBot="1">
      <c r="A47" s="8" t="s">
        <v>40</v>
      </c>
      <c r="B47" s="274">
        <f>SUM(B7:B46)</f>
        <v>160.78473166227954</v>
      </c>
      <c r="C47" s="103"/>
      <c r="D47" s="104">
        <f>SUM(D7:D46)</f>
        <v>5918056.0161487</v>
      </c>
      <c r="E47" s="104">
        <f>SUM(E7:E46)</f>
        <v>1657055.684521636</v>
      </c>
      <c r="F47" s="105">
        <f>SUM(F7:F46)</f>
        <v>7575111.700670337</v>
      </c>
    </row>
    <row r="48" spans="4:6" ht="12">
      <c r="D48" s="249">
        <f>D47-'Combined '!D36</f>
        <v>0</v>
      </c>
      <c r="E48" s="249">
        <f>'Combined '!D38-E47</f>
        <v>0</v>
      </c>
      <c r="F48" s="251">
        <f>'Combined '!D36+'Combined '!D38-F47</f>
        <v>0</v>
      </c>
    </row>
    <row r="60" spans="6:29" ht="12">
      <c r="F60" s="48"/>
      <c r="G60" s="48"/>
      <c r="H60" s="48"/>
      <c r="I60" s="48"/>
      <c r="J60" s="48"/>
      <c r="K60" s="48"/>
      <c r="L60" s="48"/>
      <c r="M60" s="48"/>
      <c r="N60" s="48"/>
      <c r="O60" s="48"/>
      <c r="P60" s="48"/>
      <c r="Q60" s="48"/>
      <c r="R60" s="48"/>
      <c r="S60" s="48"/>
      <c r="T60" s="48"/>
      <c r="U60" s="48"/>
      <c r="V60" s="48"/>
      <c r="W60" s="48"/>
      <c r="X60" s="48"/>
      <c r="Y60" s="48"/>
      <c r="Z60" s="48"/>
      <c r="AA60" s="48"/>
      <c r="AB60" s="48"/>
      <c r="AC60" s="48"/>
    </row>
  </sheetData>
  <sheetProtection/>
  <mergeCells count="4">
    <mergeCell ref="A1:F1"/>
    <mergeCell ref="A2:F2"/>
    <mergeCell ref="A4:F4"/>
    <mergeCell ref="A5:F5"/>
  </mergeCells>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sheetPr>
    <tabColor theme="3"/>
  </sheetPr>
  <dimension ref="A1:E143"/>
  <sheetViews>
    <sheetView workbookViewId="0" topLeftCell="A1">
      <selection activeCell="A1" sqref="A1"/>
    </sheetView>
  </sheetViews>
  <sheetFormatPr defaultColWidth="11.57421875" defaultRowHeight="15"/>
  <cols>
    <col min="1" max="1" width="45.28125" style="48" bestFit="1" customWidth="1"/>
    <col min="2" max="2" width="13.421875" style="119" customWidth="1"/>
    <col min="3" max="3" width="12.421875" style="206" customWidth="1"/>
    <col min="4" max="4" width="38.00390625" style="93" customWidth="1"/>
    <col min="5" max="5" width="2.421875" style="48" customWidth="1"/>
    <col min="6" max="16384" width="11.421875" style="48" customWidth="1"/>
  </cols>
  <sheetData>
    <row r="1" spans="1:2" ht="12">
      <c r="A1" s="120" t="str">
        <f>'YEAR 1'!A1</f>
        <v>Enrollment</v>
      </c>
      <c r="B1" s="119">
        <f>'YEAR 1'!B1</f>
        <v>1273</v>
      </c>
    </row>
    <row r="2" ht="12.75" thickBot="1"/>
    <row r="3" spans="1:4" ht="12">
      <c r="A3" s="298" t="s">
        <v>117</v>
      </c>
      <c r="B3" s="299"/>
      <c r="C3" s="299"/>
      <c r="D3" s="300"/>
    </row>
    <row r="4" spans="1:5" s="11" customFormat="1" ht="12">
      <c r="A4" s="10" t="s">
        <v>0</v>
      </c>
      <c r="B4" s="106" t="s">
        <v>1</v>
      </c>
      <c r="C4" s="208" t="s">
        <v>227</v>
      </c>
      <c r="D4" s="10" t="s">
        <v>89</v>
      </c>
      <c r="E4" s="22"/>
    </row>
    <row r="5" spans="1:4" s="11" customFormat="1" ht="12">
      <c r="A5" s="122" t="s">
        <v>90</v>
      </c>
      <c r="B5" s="107"/>
      <c r="C5" s="209"/>
      <c r="D5" s="44"/>
    </row>
    <row r="6" spans="1:4" s="45" customFormat="1" ht="12">
      <c r="A6" s="24" t="s">
        <v>93</v>
      </c>
      <c r="B6" s="108">
        <f>'Combined '!E6</f>
        <v>8973858.583196046</v>
      </c>
      <c r="C6" s="210">
        <f>B6/$B$1</f>
        <v>7049.378305731379</v>
      </c>
      <c r="D6" s="290" t="s">
        <v>282</v>
      </c>
    </row>
    <row r="7" spans="1:5" ht="12">
      <c r="A7" s="23" t="s">
        <v>94</v>
      </c>
      <c r="B7" s="109"/>
      <c r="C7" s="210">
        <f aca="true" t="shared" si="0" ref="C7:C17">B7/$B$1</f>
        <v>0</v>
      </c>
      <c r="D7" s="41" t="s">
        <v>5</v>
      </c>
      <c r="E7" s="50"/>
    </row>
    <row r="8" spans="1:5" ht="12">
      <c r="A8" s="23" t="s">
        <v>74</v>
      </c>
      <c r="B8" s="109"/>
      <c r="C8" s="210">
        <f t="shared" si="0"/>
        <v>0</v>
      </c>
      <c r="D8" s="41"/>
      <c r="E8" s="50"/>
    </row>
    <row r="9" spans="1:5" ht="12">
      <c r="A9" s="23" t="s">
        <v>149</v>
      </c>
      <c r="B9" s="109"/>
      <c r="C9" s="210">
        <f t="shared" si="0"/>
        <v>0</v>
      </c>
      <c r="D9" s="41"/>
      <c r="E9" s="50"/>
    </row>
    <row r="10" spans="1:5" ht="12">
      <c r="A10" s="23" t="s">
        <v>95</v>
      </c>
      <c r="B10" s="109"/>
      <c r="C10" s="210">
        <f t="shared" si="0"/>
        <v>0</v>
      </c>
      <c r="D10" s="41"/>
      <c r="E10" s="50"/>
    </row>
    <row r="11" spans="1:5" ht="12">
      <c r="A11" s="23" t="s">
        <v>96</v>
      </c>
      <c r="B11" s="109"/>
      <c r="C11" s="210">
        <f t="shared" si="0"/>
        <v>0</v>
      </c>
      <c r="D11" s="41"/>
      <c r="E11" s="50"/>
    </row>
    <row r="12" spans="1:5" ht="12">
      <c r="A12" s="23" t="s">
        <v>97</v>
      </c>
      <c r="B12" s="109">
        <f>'Combined '!E12</f>
        <v>64966</v>
      </c>
      <c r="C12" s="210">
        <f t="shared" si="0"/>
        <v>51.03377847604085</v>
      </c>
      <c r="D12" s="290" t="s">
        <v>282</v>
      </c>
      <c r="E12" s="50"/>
    </row>
    <row r="13" spans="1:5" ht="12">
      <c r="A13" s="23" t="s">
        <v>98</v>
      </c>
      <c r="B13" s="109"/>
      <c r="C13" s="210">
        <f t="shared" si="0"/>
        <v>0</v>
      </c>
      <c r="D13" s="41"/>
      <c r="E13" s="50"/>
    </row>
    <row r="14" spans="1:5" ht="12">
      <c r="A14" s="23" t="s">
        <v>165</v>
      </c>
      <c r="B14" s="109">
        <f>'Combined '!E13</f>
        <v>659070.8401976936</v>
      </c>
      <c r="C14" s="210">
        <f t="shared" si="0"/>
        <v>517.7304322055724</v>
      </c>
      <c r="D14" s="290" t="s">
        <v>282</v>
      </c>
      <c r="E14" s="50"/>
    </row>
    <row r="15" spans="1:5" ht="12">
      <c r="A15" s="23" t="s">
        <v>166</v>
      </c>
      <c r="B15" s="109"/>
      <c r="C15" s="210">
        <f t="shared" si="0"/>
        <v>0</v>
      </c>
      <c r="D15" s="95"/>
      <c r="E15" s="50"/>
    </row>
    <row r="16" spans="1:5" ht="12">
      <c r="A16" s="23" t="s">
        <v>104</v>
      </c>
      <c r="B16" s="109"/>
      <c r="C16" s="210">
        <f t="shared" si="0"/>
        <v>0</v>
      </c>
      <c r="D16" s="41"/>
      <c r="E16" s="50"/>
    </row>
    <row r="17" spans="1:5" ht="12">
      <c r="A17" s="23" t="s">
        <v>104</v>
      </c>
      <c r="B17" s="109"/>
      <c r="C17" s="210">
        <f t="shared" si="0"/>
        <v>0</v>
      </c>
      <c r="D17" s="41"/>
      <c r="E17" s="50"/>
    </row>
    <row r="18" spans="1:5" ht="12">
      <c r="A18" s="15" t="s">
        <v>42</v>
      </c>
      <c r="B18" s="110"/>
      <c r="C18" s="211"/>
      <c r="D18" s="73"/>
      <c r="E18" s="50"/>
    </row>
    <row r="19" spans="1:5" ht="12">
      <c r="A19" s="23" t="s">
        <v>112</v>
      </c>
      <c r="B19" s="111">
        <f>'Combined '!E8</f>
        <v>317442.07742998353</v>
      </c>
      <c r="C19" s="210">
        <f aca="true" t="shared" si="1" ref="C19:C35">B19/$B$1</f>
        <v>249.36533969362415</v>
      </c>
      <c r="D19" s="188"/>
      <c r="E19" s="50"/>
    </row>
    <row r="20" spans="1:5" ht="12">
      <c r="A20" s="23" t="s">
        <v>150</v>
      </c>
      <c r="B20" s="109">
        <f>'Combined '!E9</f>
        <v>1682007.820428336</v>
      </c>
      <c r="C20" s="210">
        <f t="shared" si="1"/>
        <v>1321.2944386711201</v>
      </c>
      <c r="D20" s="290" t="s">
        <v>282</v>
      </c>
      <c r="E20" s="59"/>
    </row>
    <row r="21" spans="1:5" ht="12">
      <c r="A21" s="24" t="s">
        <v>2</v>
      </c>
      <c r="B21" s="109">
        <f>'Combined '!E10</f>
        <v>406468.2932454695</v>
      </c>
      <c r="C21" s="210">
        <f t="shared" si="1"/>
        <v>319.2995233664332</v>
      </c>
      <c r="D21" s="290" t="s">
        <v>282</v>
      </c>
      <c r="E21" s="59"/>
    </row>
    <row r="22" spans="1:5" ht="12">
      <c r="A22" s="24" t="s">
        <v>3</v>
      </c>
      <c r="B22" s="109">
        <f>'Combined '!E7*0.65</f>
        <v>462084.67874794063</v>
      </c>
      <c r="C22" s="210">
        <f t="shared" si="1"/>
        <v>362.9887499983823</v>
      </c>
      <c r="D22" s="290" t="s">
        <v>282</v>
      </c>
      <c r="E22" s="59"/>
    </row>
    <row r="23" spans="1:5" ht="12">
      <c r="A23" s="23" t="s">
        <v>91</v>
      </c>
      <c r="B23" s="109">
        <f>'Combined '!E7*0.35</f>
        <v>248814.82701812187</v>
      </c>
      <c r="C23" s="210">
        <f t="shared" si="1"/>
        <v>195.45548076835968</v>
      </c>
      <c r="D23" s="290" t="s">
        <v>282</v>
      </c>
      <c r="E23" s="59"/>
    </row>
    <row r="24" spans="1:5" ht="12">
      <c r="A24" s="23" t="s">
        <v>92</v>
      </c>
      <c r="B24" s="109"/>
      <c r="C24" s="210">
        <f t="shared" si="1"/>
        <v>0</v>
      </c>
      <c r="D24" s="290" t="s">
        <v>282</v>
      </c>
      <c r="E24" s="59"/>
    </row>
    <row r="25" spans="1:5" ht="12">
      <c r="A25" s="14" t="s">
        <v>41</v>
      </c>
      <c r="B25" s="109"/>
      <c r="C25" s="210">
        <f t="shared" si="1"/>
        <v>0</v>
      </c>
      <c r="D25" s="52"/>
      <c r="E25" s="59"/>
    </row>
    <row r="26" spans="1:5" ht="12">
      <c r="A26" s="14" t="s">
        <v>41</v>
      </c>
      <c r="B26" s="110"/>
      <c r="C26" s="210">
        <f t="shared" si="1"/>
        <v>0</v>
      </c>
      <c r="D26" s="52"/>
      <c r="E26" s="50"/>
    </row>
    <row r="27" spans="1:5" ht="12">
      <c r="A27" s="15" t="s">
        <v>43</v>
      </c>
      <c r="B27" s="109"/>
      <c r="C27" s="210">
        <f t="shared" si="1"/>
        <v>0</v>
      </c>
      <c r="D27" s="43"/>
      <c r="E27" s="59"/>
    </row>
    <row r="28" spans="1:5" ht="12">
      <c r="A28" s="24" t="s">
        <v>99</v>
      </c>
      <c r="B28" s="109"/>
      <c r="C28" s="210">
        <f t="shared" si="1"/>
        <v>0</v>
      </c>
      <c r="D28" s="41"/>
      <c r="E28" s="59"/>
    </row>
    <row r="29" spans="1:5" ht="12">
      <c r="A29" s="24" t="s">
        <v>100</v>
      </c>
      <c r="B29" s="109"/>
      <c r="C29" s="210">
        <f t="shared" si="1"/>
        <v>0</v>
      </c>
      <c r="D29" s="41"/>
      <c r="E29" s="59"/>
    </row>
    <row r="30" spans="1:5" ht="12">
      <c r="A30" s="24" t="s">
        <v>101</v>
      </c>
      <c r="B30" s="109">
        <f>'Combined '!E11</f>
        <v>253702</v>
      </c>
      <c r="C30" s="210">
        <f t="shared" si="1"/>
        <v>199.29457973291437</v>
      </c>
      <c r="D30" s="41"/>
      <c r="E30" s="59"/>
    </row>
    <row r="31" spans="1:5" ht="12">
      <c r="A31" s="13" t="s">
        <v>180</v>
      </c>
      <c r="B31" s="109"/>
      <c r="C31" s="210">
        <f t="shared" si="1"/>
        <v>0</v>
      </c>
      <c r="D31" s="290" t="s">
        <v>282</v>
      </c>
      <c r="E31" s="59"/>
    </row>
    <row r="32" spans="1:5" ht="12">
      <c r="A32" s="13" t="s">
        <v>47</v>
      </c>
      <c r="B32" s="109"/>
      <c r="C32" s="210">
        <f t="shared" si="1"/>
        <v>0</v>
      </c>
      <c r="D32" s="41"/>
      <c r="E32" s="59"/>
    </row>
    <row r="33" spans="1:5" ht="12">
      <c r="A33" s="13" t="s">
        <v>47</v>
      </c>
      <c r="B33" s="109"/>
      <c r="C33" s="210">
        <f t="shared" si="1"/>
        <v>0</v>
      </c>
      <c r="D33" s="41"/>
      <c r="E33" s="59"/>
    </row>
    <row r="34" spans="1:5" ht="12">
      <c r="A34" s="20" t="s">
        <v>4</v>
      </c>
      <c r="B34" s="110">
        <f>SUM(B6:B33)</f>
        <v>13068415.120263591</v>
      </c>
      <c r="C34" s="210">
        <f t="shared" si="1"/>
        <v>10265.840628643828</v>
      </c>
      <c r="D34" s="41"/>
      <c r="E34" s="59"/>
    </row>
    <row r="35" spans="2:5" s="47" customFormat="1" ht="12">
      <c r="B35" s="111"/>
      <c r="C35" s="210">
        <f t="shared" si="1"/>
        <v>0</v>
      </c>
      <c r="D35" s="43"/>
      <c r="E35" s="76"/>
    </row>
    <row r="36" spans="1:5" ht="12">
      <c r="A36" s="10"/>
      <c r="B36" s="110"/>
      <c r="C36" s="164"/>
      <c r="D36" s="75"/>
      <c r="E36" s="59"/>
    </row>
    <row r="37" spans="1:5" ht="12">
      <c r="A37" s="12" t="s">
        <v>56</v>
      </c>
      <c r="B37" s="110"/>
      <c r="C37" s="211"/>
      <c r="D37" s="43"/>
      <c r="E37" s="59"/>
    </row>
    <row r="38" spans="1:5" ht="12">
      <c r="A38" s="63" t="s">
        <v>77</v>
      </c>
      <c r="B38" s="110"/>
      <c r="C38" s="211"/>
      <c r="D38" s="282" t="s">
        <v>285</v>
      </c>
      <c r="E38" s="59"/>
    </row>
    <row r="39" spans="1:5" ht="12">
      <c r="A39" s="96" t="s">
        <v>73</v>
      </c>
      <c r="B39" s="110">
        <f>'Staffing Year 3'!F47</f>
        <v>7721604.741727856</v>
      </c>
      <c r="C39" s="210">
        <f aca="true" t="shared" si="2" ref="C39:C46">B39/$B$1</f>
        <v>6065.675366636179</v>
      </c>
      <c r="D39" s="282" t="s">
        <v>278</v>
      </c>
      <c r="E39" s="59"/>
    </row>
    <row r="40" spans="1:5" ht="12">
      <c r="A40" s="14" t="s">
        <v>151</v>
      </c>
      <c r="B40" s="111">
        <f>'TBLA Expense'!E62+'TBLA Expense'!L62</f>
        <v>194423.1739968155</v>
      </c>
      <c r="C40" s="210">
        <f t="shared" si="2"/>
        <v>152.72833778225882</v>
      </c>
      <c r="D40" s="41" t="s">
        <v>5</v>
      </c>
      <c r="E40" s="78"/>
    </row>
    <row r="41" spans="1:5" ht="12">
      <c r="A41" s="14" t="s">
        <v>74</v>
      </c>
      <c r="B41" s="111">
        <f>'TBLA Expense'!E63+'TBLA Expense'!L63</f>
        <v>62166.61650691269</v>
      </c>
      <c r="C41" s="210">
        <f t="shared" si="2"/>
        <v>48.834734098124656</v>
      </c>
      <c r="D41" s="41"/>
      <c r="E41" s="78"/>
    </row>
    <row r="42" spans="1:5" ht="12">
      <c r="A42" s="7" t="s">
        <v>75</v>
      </c>
      <c r="B42" s="111"/>
      <c r="C42" s="210">
        <f t="shared" si="2"/>
        <v>0</v>
      </c>
      <c r="D42" s="41"/>
      <c r="E42" s="78"/>
    </row>
    <row r="43" spans="1:5" ht="12">
      <c r="A43" s="7" t="s">
        <v>47</v>
      </c>
      <c r="B43" s="111"/>
      <c r="C43" s="210">
        <f t="shared" si="2"/>
        <v>0</v>
      </c>
      <c r="D43" s="41"/>
      <c r="E43" s="78"/>
    </row>
    <row r="44" spans="1:5" ht="12">
      <c r="A44" s="7" t="s">
        <v>47</v>
      </c>
      <c r="B44" s="111"/>
      <c r="C44" s="210">
        <f t="shared" si="2"/>
        <v>0</v>
      </c>
      <c r="D44" s="41"/>
      <c r="E44" s="78"/>
    </row>
    <row r="45" spans="1:5" ht="12">
      <c r="A45" s="7" t="s">
        <v>47</v>
      </c>
      <c r="B45" s="111"/>
      <c r="C45" s="210">
        <f t="shared" si="2"/>
        <v>0</v>
      </c>
      <c r="D45" s="41"/>
      <c r="E45" s="78"/>
    </row>
    <row r="46" spans="1:5" ht="12">
      <c r="A46" s="7" t="s">
        <v>47</v>
      </c>
      <c r="B46" s="111"/>
      <c r="C46" s="210">
        <f t="shared" si="2"/>
        <v>0</v>
      </c>
      <c r="D46" s="41"/>
      <c r="E46" s="78"/>
    </row>
    <row r="47" spans="1:5" s="87" customFormat="1" ht="12">
      <c r="A47" s="63"/>
      <c r="B47" s="111"/>
      <c r="C47" s="210">
        <f>B47/$B$1</f>
        <v>0</v>
      </c>
      <c r="D47" s="43"/>
      <c r="E47" s="85"/>
    </row>
    <row r="48" spans="1:5" ht="12">
      <c r="A48" s="63" t="s">
        <v>76</v>
      </c>
      <c r="B48" s="110">
        <f>SUM(B39:B47)</f>
        <v>7978194.532231584</v>
      </c>
      <c r="C48" s="211"/>
      <c r="D48" s="43"/>
      <c r="E48" s="50"/>
    </row>
    <row r="49" spans="1:5" s="47" customFormat="1" ht="12">
      <c r="A49" s="63"/>
      <c r="B49" s="110">
        <f>'Combined '!E42-B48</f>
        <v>0</v>
      </c>
      <c r="E49" s="80"/>
    </row>
    <row r="50" spans="1:5" s="47" customFormat="1" ht="12">
      <c r="A50" s="15" t="s">
        <v>78</v>
      </c>
      <c r="B50" s="110"/>
      <c r="C50" s="211"/>
      <c r="D50" s="282" t="s">
        <v>287</v>
      </c>
      <c r="E50" s="80"/>
    </row>
    <row r="51" spans="1:5" s="47" customFormat="1" ht="12">
      <c r="A51" s="79" t="s">
        <v>6</v>
      </c>
      <c r="B51" s="111">
        <f>'TBLA Expense'!E66+'TBLA Expense'!L66</f>
        <v>47195.17018121912</v>
      </c>
      <c r="C51" s="210">
        <f aca="true" t="shared" si="3" ref="C51:C82">B51/$B$1</f>
        <v>37.073975004885405</v>
      </c>
      <c r="D51" s="41"/>
      <c r="E51" s="80"/>
    </row>
    <row r="52" spans="1:5" ht="12">
      <c r="A52" s="79" t="s">
        <v>7</v>
      </c>
      <c r="B52" s="111">
        <f>'TBLA Expense'!E67+'TBLA Expense'!L67</f>
        <v>3186.342009884679</v>
      </c>
      <c r="C52" s="210">
        <f t="shared" si="3"/>
        <v>2.5030180753218216</v>
      </c>
      <c r="D52" s="41" t="s">
        <v>5</v>
      </c>
      <c r="E52" s="59"/>
    </row>
    <row r="53" spans="1:5" ht="12">
      <c r="A53" s="79" t="s">
        <v>8</v>
      </c>
      <c r="B53" s="111">
        <f>'TBLA Expense'!E68+'TBLA Expense'!L68</f>
        <v>0</v>
      </c>
      <c r="C53" s="210">
        <f t="shared" si="3"/>
        <v>0</v>
      </c>
      <c r="D53" s="41"/>
      <c r="E53" s="59"/>
    </row>
    <row r="54" spans="1:5" ht="12">
      <c r="A54" s="19" t="s">
        <v>9</v>
      </c>
      <c r="B54" s="111">
        <f>'TBLA Expense'!E69+'TBLA Expense'!L69</f>
        <v>17572.09706181988</v>
      </c>
      <c r="C54" s="210">
        <f t="shared" si="3"/>
        <v>13.803689757910353</v>
      </c>
      <c r="D54" s="41"/>
      <c r="E54" s="59"/>
    </row>
    <row r="55" spans="1:5" ht="12">
      <c r="A55" s="19" t="s">
        <v>10</v>
      </c>
      <c r="B55" s="111">
        <f>'TBLA Expense'!E70+'TBLA Expense'!L70</f>
        <v>0</v>
      </c>
      <c r="C55" s="210">
        <f t="shared" si="3"/>
        <v>0</v>
      </c>
      <c r="D55" s="81"/>
      <c r="E55" s="59"/>
    </row>
    <row r="56" spans="1:5" ht="12">
      <c r="A56" s="19" t="s">
        <v>11</v>
      </c>
      <c r="B56" s="111">
        <f>'TBLA Expense'!E71+'TBLA Expense'!L71</f>
        <v>73798.71835443038</v>
      </c>
      <c r="C56" s="210">
        <f t="shared" si="3"/>
        <v>57.97228464605686</v>
      </c>
      <c r="D56" s="41"/>
      <c r="E56" s="78"/>
    </row>
    <row r="57" spans="1:5" ht="12">
      <c r="A57" s="19" t="s">
        <v>44</v>
      </c>
      <c r="B57" s="111">
        <f>'TBLA Expense'!E72+'TBLA Expense'!L72</f>
        <v>114694.16035897858</v>
      </c>
      <c r="C57" s="210">
        <f t="shared" si="3"/>
        <v>90.09753366769723</v>
      </c>
      <c r="D57" s="41"/>
      <c r="E57" s="78"/>
    </row>
    <row r="58" spans="1:5" ht="12">
      <c r="A58" s="82" t="s">
        <v>12</v>
      </c>
      <c r="B58" s="111">
        <f>'TBLA Expense'!E73+'TBLA Expense'!L73</f>
        <v>26191.28006589786</v>
      </c>
      <c r="C58" s="210">
        <f t="shared" si="3"/>
        <v>20.57445409732746</v>
      </c>
      <c r="D58" s="41"/>
      <c r="E58" s="59"/>
    </row>
    <row r="59" spans="1:5" ht="12">
      <c r="A59" s="14" t="s">
        <v>66</v>
      </c>
      <c r="B59" s="111">
        <f>'TBLA Expense'!E74+'TBLA Expense'!L74</f>
        <v>119764.27751235582</v>
      </c>
      <c r="C59" s="210">
        <f t="shared" si="3"/>
        <v>94.08034368606114</v>
      </c>
      <c r="D59" s="41" t="s">
        <v>5</v>
      </c>
      <c r="E59" s="59"/>
    </row>
    <row r="60" spans="1:5" ht="12">
      <c r="A60" s="7" t="s">
        <v>47</v>
      </c>
      <c r="B60" s="111"/>
      <c r="C60" s="210">
        <f t="shared" si="3"/>
        <v>0</v>
      </c>
      <c r="D60" s="41"/>
      <c r="E60" s="59"/>
    </row>
    <row r="61" spans="1:5" ht="12">
      <c r="A61" s="7" t="s">
        <v>47</v>
      </c>
      <c r="B61" s="111"/>
      <c r="C61" s="210">
        <f t="shared" si="3"/>
        <v>0</v>
      </c>
      <c r="D61" s="41"/>
      <c r="E61" s="59"/>
    </row>
    <row r="62" spans="1:5" ht="12">
      <c r="A62" s="7" t="s">
        <v>47</v>
      </c>
      <c r="B62" s="111"/>
      <c r="C62" s="210">
        <f t="shared" si="3"/>
        <v>0</v>
      </c>
      <c r="D62" s="41"/>
      <c r="E62" s="59"/>
    </row>
    <row r="63" spans="1:5" s="45" customFormat="1" ht="12">
      <c r="A63" s="7" t="s">
        <v>47</v>
      </c>
      <c r="B63" s="111"/>
      <c r="C63" s="210">
        <f t="shared" si="3"/>
        <v>0</v>
      </c>
      <c r="D63" s="41"/>
      <c r="E63" s="83"/>
    </row>
    <row r="64" spans="1:5" s="87" customFormat="1" ht="12">
      <c r="A64" s="7" t="s">
        <v>47</v>
      </c>
      <c r="B64" s="111"/>
      <c r="C64" s="210">
        <f t="shared" si="3"/>
        <v>0</v>
      </c>
      <c r="D64" s="41"/>
      <c r="E64" s="85"/>
    </row>
    <row r="65" spans="1:5" ht="12">
      <c r="A65" s="20" t="s">
        <v>79</v>
      </c>
      <c r="B65" s="110">
        <f>SUM(B51:B64)</f>
        <v>402402.0455445863</v>
      </c>
      <c r="C65" s="210">
        <f t="shared" si="3"/>
        <v>316.1052989352603</v>
      </c>
      <c r="D65" s="43"/>
      <c r="E65" s="50"/>
    </row>
    <row r="66" spans="1:5" ht="12">
      <c r="A66" s="63"/>
      <c r="B66" s="110">
        <f>B65-'Combined '!E53</f>
        <v>0</v>
      </c>
      <c r="C66" s="210">
        <f t="shared" si="3"/>
        <v>0</v>
      </c>
      <c r="D66" s="43"/>
      <c r="E66" s="59"/>
    </row>
    <row r="67" spans="1:5" ht="12">
      <c r="A67" s="15" t="s">
        <v>45</v>
      </c>
      <c r="B67" s="110"/>
      <c r="C67" s="210">
        <f t="shared" si="3"/>
        <v>0</v>
      </c>
      <c r="D67" s="43"/>
      <c r="E67" s="59"/>
    </row>
    <row r="68" spans="1:5" ht="12">
      <c r="A68" s="7" t="s">
        <v>19</v>
      </c>
      <c r="B68" s="112">
        <f>'TBLA Expense'!E77+'TBLA Expense'!L77</f>
        <v>19142.688072487646</v>
      </c>
      <c r="C68" s="210">
        <f t="shared" si="3"/>
        <v>15.037461172417633</v>
      </c>
      <c r="D68" s="41"/>
      <c r="E68" s="78"/>
    </row>
    <row r="69" spans="1:5" ht="12">
      <c r="A69" s="7" t="s">
        <v>20</v>
      </c>
      <c r="B69" s="112">
        <f>'TBLA Expense'!E78+'TBLA Expense'!L78</f>
        <v>6514.490016474465</v>
      </c>
      <c r="C69" s="210">
        <f t="shared" si="3"/>
        <v>5.117431277670436</v>
      </c>
      <c r="D69" s="41"/>
      <c r="E69" s="78"/>
    </row>
    <row r="70" spans="1:5" ht="12">
      <c r="A70" s="14" t="s">
        <v>21</v>
      </c>
      <c r="B70" s="112">
        <f>'TBLA Expense'!E79+'TBLA Expense'!L79</f>
        <v>11572.841235584845</v>
      </c>
      <c r="C70" s="210">
        <f t="shared" si="3"/>
        <v>9.090998613970813</v>
      </c>
      <c r="D70" s="88"/>
      <c r="E70" s="59"/>
    </row>
    <row r="71" spans="1:5" ht="12">
      <c r="A71" s="7" t="s">
        <v>22</v>
      </c>
      <c r="B71" s="112">
        <f>'TBLA Expense'!E80+'TBLA Expense'!L80</f>
        <v>38747.16749637562</v>
      </c>
      <c r="C71" s="210">
        <f t="shared" si="3"/>
        <v>30.437680672722408</v>
      </c>
      <c r="D71" s="88"/>
      <c r="E71" s="59"/>
    </row>
    <row r="72" spans="1:5" ht="12">
      <c r="A72" s="7" t="s">
        <v>281</v>
      </c>
      <c r="B72" s="112">
        <f>'TBLA Expense'!E81+'TBLA Expense'!L81</f>
        <v>38091.91205930807</v>
      </c>
      <c r="C72" s="210">
        <f t="shared" si="3"/>
        <v>29.92294741501027</v>
      </c>
      <c r="D72" s="41"/>
      <c r="E72" s="59"/>
    </row>
    <row r="73" spans="1:5" ht="12">
      <c r="A73" s="7" t="s">
        <v>47</v>
      </c>
      <c r="B73" s="113"/>
      <c r="C73" s="210">
        <f t="shared" si="3"/>
        <v>0</v>
      </c>
      <c r="D73" s="41"/>
      <c r="E73" s="59"/>
    </row>
    <row r="74" spans="1:5" ht="12">
      <c r="A74" s="7" t="s">
        <v>47</v>
      </c>
      <c r="B74" s="113"/>
      <c r="C74" s="210">
        <f t="shared" si="3"/>
        <v>0</v>
      </c>
      <c r="D74" s="41"/>
      <c r="E74" s="59"/>
    </row>
    <row r="75" spans="1:5" s="45" customFormat="1" ht="12">
      <c r="A75" s="7" t="s">
        <v>47</v>
      </c>
      <c r="B75" s="113"/>
      <c r="C75" s="210">
        <f t="shared" si="3"/>
        <v>0</v>
      </c>
      <c r="D75" s="41"/>
      <c r="E75" s="83"/>
    </row>
    <row r="76" spans="1:5" s="45" customFormat="1" ht="12">
      <c r="A76" s="7" t="s">
        <v>47</v>
      </c>
      <c r="B76" s="113"/>
      <c r="C76" s="210">
        <f t="shared" si="3"/>
        <v>0</v>
      </c>
      <c r="D76" s="41"/>
      <c r="E76" s="83"/>
    </row>
    <row r="77" spans="1:5" ht="12">
      <c r="A77" s="20" t="s">
        <v>80</v>
      </c>
      <c r="B77" s="110">
        <f>SUM(B68:B76)</f>
        <v>114069.09888023065</v>
      </c>
      <c r="C77" s="210">
        <f t="shared" si="3"/>
        <v>89.60651915179156</v>
      </c>
      <c r="D77" s="43"/>
      <c r="E77" s="50"/>
    </row>
    <row r="78" spans="1:5" ht="12">
      <c r="A78" s="20"/>
      <c r="B78" s="110">
        <f>B77-'Combined '!E60</f>
        <v>0</v>
      </c>
      <c r="C78" s="210">
        <f t="shared" si="3"/>
        <v>0</v>
      </c>
      <c r="D78" s="43"/>
      <c r="E78" s="89"/>
    </row>
    <row r="79" spans="1:5" ht="12">
      <c r="A79" s="15" t="s">
        <v>54</v>
      </c>
      <c r="B79" s="110"/>
      <c r="C79" s="210">
        <f t="shared" si="3"/>
        <v>0</v>
      </c>
      <c r="D79" s="43"/>
      <c r="E79" s="78"/>
    </row>
    <row r="80" spans="1:5" ht="12">
      <c r="A80" s="14" t="s">
        <v>55</v>
      </c>
      <c r="B80" s="112"/>
      <c r="C80" s="210">
        <f t="shared" si="3"/>
        <v>0</v>
      </c>
      <c r="D80" s="41" t="s">
        <v>5</v>
      </c>
      <c r="E80" s="78"/>
    </row>
    <row r="81" spans="1:5" ht="12">
      <c r="A81" s="14" t="s">
        <v>13</v>
      </c>
      <c r="B81" s="112"/>
      <c r="C81" s="210">
        <f t="shared" si="3"/>
        <v>0</v>
      </c>
      <c r="D81" s="41"/>
      <c r="E81" s="59"/>
    </row>
    <row r="82" spans="1:5" ht="12">
      <c r="A82" s="14" t="s">
        <v>14</v>
      </c>
      <c r="B82" s="112"/>
      <c r="C82" s="210">
        <f t="shared" si="3"/>
        <v>0</v>
      </c>
      <c r="D82" s="41"/>
      <c r="E82" s="59"/>
    </row>
    <row r="83" spans="1:5" ht="12">
      <c r="A83" s="7" t="s">
        <v>47</v>
      </c>
      <c r="B83" s="113"/>
      <c r="C83" s="210">
        <f aca="true" t="shared" si="4" ref="C83:C114">B83/$B$1</f>
        <v>0</v>
      </c>
      <c r="D83" s="41"/>
      <c r="E83" s="59"/>
    </row>
    <row r="84" spans="1:5" ht="12">
      <c r="A84" s="7" t="s">
        <v>47</v>
      </c>
      <c r="B84" s="113"/>
      <c r="C84" s="210">
        <f t="shared" si="4"/>
        <v>0</v>
      </c>
      <c r="D84" s="41"/>
      <c r="E84" s="59"/>
    </row>
    <row r="85" spans="1:5" ht="12">
      <c r="A85" s="7" t="s">
        <v>47</v>
      </c>
      <c r="B85" s="113"/>
      <c r="C85" s="210">
        <f t="shared" si="4"/>
        <v>0</v>
      </c>
      <c r="D85" s="41"/>
      <c r="E85" s="59"/>
    </row>
    <row r="86" spans="1:5" s="45" customFormat="1" ht="12">
      <c r="A86" s="7" t="s">
        <v>47</v>
      </c>
      <c r="B86" s="113"/>
      <c r="C86" s="210">
        <f t="shared" si="4"/>
        <v>0</v>
      </c>
      <c r="D86" s="41"/>
      <c r="E86" s="83"/>
    </row>
    <row r="87" spans="1:5" s="45" customFormat="1" ht="12">
      <c r="A87" s="7" t="s">
        <v>47</v>
      </c>
      <c r="B87" s="113"/>
      <c r="C87" s="210">
        <f t="shared" si="4"/>
        <v>0</v>
      </c>
      <c r="D87" s="41"/>
      <c r="E87" s="83"/>
    </row>
    <row r="88" spans="1:5" ht="12">
      <c r="A88" s="20" t="s">
        <v>81</v>
      </c>
      <c r="B88" s="110">
        <f>SUM(B80:B87)</f>
        <v>0</v>
      </c>
      <c r="C88" s="210">
        <f t="shared" si="4"/>
        <v>0</v>
      </c>
      <c r="D88" s="43"/>
      <c r="E88" s="50"/>
    </row>
    <row r="89" spans="1:5" ht="12">
      <c r="A89" s="20"/>
      <c r="B89" s="110"/>
      <c r="C89" s="210">
        <f t="shared" si="4"/>
        <v>0</v>
      </c>
      <c r="D89" s="43"/>
      <c r="E89" s="78"/>
    </row>
    <row r="90" spans="1:5" ht="12">
      <c r="A90" s="15" t="s">
        <v>46</v>
      </c>
      <c r="B90" s="110"/>
      <c r="C90" s="210">
        <f t="shared" si="4"/>
        <v>0</v>
      </c>
      <c r="D90" s="43"/>
      <c r="E90" s="78"/>
    </row>
    <row r="91" spans="1:5" ht="12">
      <c r="A91" s="14" t="s">
        <v>15</v>
      </c>
      <c r="B91" s="112">
        <f>'TBLA Expense'!E90+'TBLA Expense'!L90</f>
        <v>5100.5</v>
      </c>
      <c r="C91" s="210">
        <f t="shared" si="4"/>
        <v>4.006677140612726</v>
      </c>
      <c r="D91" s="41"/>
      <c r="E91" s="78"/>
    </row>
    <row r="92" spans="1:5" ht="12">
      <c r="A92" s="23" t="s">
        <v>148</v>
      </c>
      <c r="B92" s="112">
        <f>'TBLA Expense'!E91+'TBLA Expense'!L91</f>
        <v>21472.0849</v>
      </c>
      <c r="C92" s="210">
        <f t="shared" si="4"/>
        <v>16.867309426551454</v>
      </c>
      <c r="D92" s="41" t="s">
        <v>5</v>
      </c>
      <c r="E92" s="78"/>
    </row>
    <row r="93" spans="1:5" ht="12">
      <c r="A93" s="14" t="s">
        <v>16</v>
      </c>
      <c r="B93" s="112">
        <f>'TBLA Expense'!E92+'TBLA Expense'!L92</f>
        <v>41212.24402</v>
      </c>
      <c r="C93" s="210">
        <f t="shared" si="4"/>
        <v>32.37411156323645</v>
      </c>
      <c r="D93" s="41"/>
      <c r="E93" s="78"/>
    </row>
    <row r="94" spans="1:5" ht="12">
      <c r="A94" s="14" t="s">
        <v>17</v>
      </c>
      <c r="B94" s="112">
        <f>'TBLA Expense'!E93+'TBLA Expense'!L93</f>
        <v>49901.2518</v>
      </c>
      <c r="C94" s="210">
        <f t="shared" si="4"/>
        <v>39.19972647289866</v>
      </c>
      <c r="D94" s="41"/>
      <c r="E94" s="59"/>
    </row>
    <row r="95" spans="1:5" ht="12">
      <c r="A95" s="14" t="s">
        <v>18</v>
      </c>
      <c r="B95" s="112">
        <f>'TBLA Expense'!E94+'TBLA Expense'!L94</f>
        <v>23972.350000000002</v>
      </c>
      <c r="C95" s="210">
        <f t="shared" si="4"/>
        <v>18.831382560879813</v>
      </c>
      <c r="D95" s="41"/>
      <c r="E95" s="78"/>
    </row>
    <row r="96" spans="1:5" ht="12">
      <c r="A96" s="7" t="s">
        <v>26</v>
      </c>
      <c r="B96" s="112">
        <f>'TBLA Expense'!E95+'TBLA Expense'!L95</f>
        <v>15494.443756622117</v>
      </c>
      <c r="C96" s="210">
        <f t="shared" si="4"/>
        <v>12.171597609286817</v>
      </c>
      <c r="D96" s="41" t="s">
        <v>5</v>
      </c>
      <c r="E96" s="78"/>
    </row>
    <row r="97" spans="1:5" ht="12">
      <c r="A97" s="14" t="s">
        <v>23</v>
      </c>
      <c r="B97" s="112">
        <f>'TBLA Expense'!E96+'TBLA Expense'!L96</f>
        <v>60389.92</v>
      </c>
      <c r="C97" s="210">
        <f t="shared" si="4"/>
        <v>47.439057344854675</v>
      </c>
      <c r="D97" s="41"/>
      <c r="E97" s="78"/>
    </row>
    <row r="98" spans="1:5" ht="12">
      <c r="A98" s="14" t="s">
        <v>24</v>
      </c>
      <c r="B98" s="112">
        <f>'TBLA Expense'!E97+'TBLA Expense'!L97</f>
        <v>35805.51</v>
      </c>
      <c r="C98" s="210">
        <f t="shared" si="4"/>
        <v>28.12687352710134</v>
      </c>
      <c r="D98" s="41"/>
      <c r="E98" s="59"/>
    </row>
    <row r="99" spans="1:5" ht="24">
      <c r="A99" s="23" t="s">
        <v>113</v>
      </c>
      <c r="B99" s="112">
        <f>'TBLA Expense'!E98+'TBLA Expense'!L98</f>
        <v>125038.7575</v>
      </c>
      <c r="C99" s="210">
        <f t="shared" si="4"/>
        <v>98.22369010212098</v>
      </c>
      <c r="D99" s="41"/>
      <c r="E99" s="59"/>
    </row>
    <row r="100" spans="1:5" ht="12">
      <c r="A100" s="7" t="s">
        <v>30</v>
      </c>
      <c r="B100" s="112">
        <f>'TBLA Expense'!E99+'TBLA Expense'!L99</f>
        <v>1683.1650000000002</v>
      </c>
      <c r="C100" s="210">
        <f t="shared" si="4"/>
        <v>1.3222034564021996</v>
      </c>
      <c r="D100" s="41"/>
      <c r="E100" s="59"/>
    </row>
    <row r="101" spans="1:5" ht="12">
      <c r="A101" s="7" t="s">
        <v>31</v>
      </c>
      <c r="B101" s="112">
        <f>'TBLA Expense'!E100+'TBLA Expense'!L100</f>
        <v>6248.1125</v>
      </c>
      <c r="C101" s="210">
        <f t="shared" si="4"/>
        <v>4.90817949725059</v>
      </c>
      <c r="D101" s="41"/>
      <c r="E101" s="59"/>
    </row>
    <row r="102" spans="1:5" ht="12">
      <c r="A102" s="51" t="s">
        <v>102</v>
      </c>
      <c r="B102" s="112">
        <f>'TBLA Expense'!E101+'TBLA Expense'!L101</f>
        <v>66816.55</v>
      </c>
      <c r="C102" s="210">
        <f t="shared" si="4"/>
        <v>52.48747054202671</v>
      </c>
      <c r="D102" s="52"/>
      <c r="E102" s="59"/>
    </row>
    <row r="103" spans="1:5" ht="12">
      <c r="A103" s="51" t="s">
        <v>48</v>
      </c>
      <c r="B103" s="112">
        <f>'TBLA Expense'!E102+'TBLA Expense'!L102</f>
        <v>18361.8</v>
      </c>
      <c r="C103" s="210">
        <f t="shared" si="4"/>
        <v>14.424037706205812</v>
      </c>
      <c r="D103" s="52"/>
      <c r="E103" s="59"/>
    </row>
    <row r="104" spans="1:5" ht="12">
      <c r="A104" s="51" t="s">
        <v>27</v>
      </c>
      <c r="B104" s="112">
        <f>'TBLA Expense'!E103+'TBLA Expense'!L103</f>
        <v>730063.8487602966</v>
      </c>
      <c r="C104" s="210">
        <f t="shared" si="4"/>
        <v>573.4987028753312</v>
      </c>
      <c r="D104" s="52"/>
      <c r="E104" s="59"/>
    </row>
    <row r="105" spans="1:5" ht="12">
      <c r="A105" s="51" t="s">
        <v>28</v>
      </c>
      <c r="B105" s="112">
        <f>'TBLA Expense'!E104+'TBLA Expense'!L104</f>
        <v>117515.51999999999</v>
      </c>
      <c r="C105" s="210">
        <f t="shared" si="4"/>
        <v>92.3138413197172</v>
      </c>
      <c r="D105" s="52"/>
      <c r="E105" s="59"/>
    </row>
    <row r="106" spans="1:5" ht="12">
      <c r="A106" s="96" t="s">
        <v>153</v>
      </c>
      <c r="B106" s="114"/>
      <c r="C106" s="210">
        <f t="shared" si="4"/>
        <v>0</v>
      </c>
      <c r="D106" s="52"/>
      <c r="E106" s="59"/>
    </row>
    <row r="107" spans="1:5" ht="12">
      <c r="A107" s="51" t="s">
        <v>271</v>
      </c>
      <c r="B107" s="114">
        <f>'TBLA Expense'!E106+'TBLA Expense'!L106</f>
        <v>17464.350639538716</v>
      </c>
      <c r="C107" s="210">
        <f t="shared" si="4"/>
        <v>13.71904999178218</v>
      </c>
      <c r="D107" s="52"/>
      <c r="E107" s="59"/>
    </row>
    <row r="108" spans="1:5" ht="12">
      <c r="A108" s="51" t="s">
        <v>272</v>
      </c>
      <c r="B108" s="114">
        <f>'TBLA Expense'!E107+'TBLA Expense'!L107</f>
        <v>12390.971692475472</v>
      </c>
      <c r="C108" s="210">
        <f t="shared" si="4"/>
        <v>9.733677684584032</v>
      </c>
      <c r="D108" s="52"/>
      <c r="E108" s="59"/>
    </row>
    <row r="109" spans="1:5" s="45" customFormat="1" ht="12">
      <c r="A109" s="51" t="s">
        <v>274</v>
      </c>
      <c r="B109" s="114">
        <f>'TBLA Expense'!E108+'TBLA Expense'!L108+'TBLA Expense'!L110+'TBLA Expense'!L111+'TBLA Expense'!E111+'TBLA Expense'!E110+'TBLA Expense'!E105+'TBLA Expense'!L105</f>
        <v>29015.287240868212</v>
      </c>
      <c r="C109" s="210">
        <f t="shared" si="4"/>
        <v>22.792841508930252</v>
      </c>
      <c r="D109" s="52"/>
      <c r="E109" s="83"/>
    </row>
    <row r="110" spans="1:5" s="47" customFormat="1" ht="12">
      <c r="A110" s="51" t="s">
        <v>273</v>
      </c>
      <c r="B110" s="115">
        <f>'TBLA Expense'!E109+'TBLA Expense'!L109</f>
        <v>139126.9048487644</v>
      </c>
      <c r="C110" s="210">
        <f t="shared" si="4"/>
        <v>109.29057725747398</v>
      </c>
      <c r="D110" s="53"/>
      <c r="E110" s="76"/>
    </row>
    <row r="111" spans="1:5" ht="12">
      <c r="A111" s="20" t="s">
        <v>82</v>
      </c>
      <c r="B111" s="110">
        <f>SUM(B91:B110)</f>
        <v>1517073.5726585654</v>
      </c>
      <c r="C111" s="210">
        <f t="shared" si="4"/>
        <v>1191.731007587247</v>
      </c>
      <c r="D111" s="43"/>
      <c r="E111" s="59"/>
    </row>
    <row r="112" spans="1:5" ht="12">
      <c r="A112" s="94"/>
      <c r="B112" s="110">
        <f>B111-'Combined '!E89</f>
        <v>0</v>
      </c>
      <c r="C112" s="210">
        <f t="shared" si="4"/>
        <v>0</v>
      </c>
      <c r="D112" s="42"/>
      <c r="E112" s="59"/>
    </row>
    <row r="113" spans="1:5" ht="12">
      <c r="A113" s="94" t="s">
        <v>32</v>
      </c>
      <c r="B113" s="110"/>
      <c r="C113" s="210">
        <f t="shared" si="4"/>
        <v>0</v>
      </c>
      <c r="D113" s="42"/>
      <c r="E113" s="59"/>
    </row>
    <row r="114" spans="1:5" ht="12">
      <c r="A114" s="51" t="s">
        <v>33</v>
      </c>
      <c r="B114" s="115">
        <f>'TBLA Expense'!E115+'TBLA Expense'!L115</f>
        <v>296559.3916</v>
      </c>
      <c r="C114" s="210">
        <f t="shared" si="4"/>
        <v>232.9610303220738</v>
      </c>
      <c r="D114" s="52" t="s">
        <v>5</v>
      </c>
      <c r="E114" s="59"/>
    </row>
    <row r="115" spans="1:5" ht="12">
      <c r="A115" s="149" t="s">
        <v>154</v>
      </c>
      <c r="B115" s="115">
        <f>'TBLA Expense'!E116+'TBLA Expense'!L116</f>
        <v>51311.702224052715</v>
      </c>
      <c r="C115" s="210">
        <f aca="true" t="shared" si="5" ref="C115:C124">B115/$B$1</f>
        <v>40.30770009744911</v>
      </c>
      <c r="D115" s="52"/>
      <c r="E115" s="59"/>
    </row>
    <row r="116" spans="1:5" ht="12">
      <c r="A116" s="91" t="s">
        <v>34</v>
      </c>
      <c r="B116" s="115">
        <f>'TBLA Expense'!E117+'TBLA Expense'!L117</f>
        <v>198933.78476112025</v>
      </c>
      <c r="C116" s="210">
        <f t="shared" si="5"/>
        <v>156.27162982020442</v>
      </c>
      <c r="D116" s="52" t="s">
        <v>5</v>
      </c>
      <c r="E116" s="78"/>
    </row>
    <row r="117" spans="1:5" ht="12">
      <c r="A117" s="51" t="s">
        <v>105</v>
      </c>
      <c r="B117" s="115">
        <f>'TBLA Expense'!E118+'TBLA Expense'!L118</f>
        <v>39688.108072487645</v>
      </c>
      <c r="C117" s="210">
        <f t="shared" si="5"/>
        <v>31.17683273565408</v>
      </c>
      <c r="D117" s="52"/>
      <c r="E117" s="78"/>
    </row>
    <row r="118" spans="1:5" ht="12">
      <c r="A118" s="54" t="s">
        <v>35</v>
      </c>
      <c r="B118" s="115">
        <f>'TBLA Expense'!E119+'TBLA Expense'!L119</f>
        <v>22304.394069192753</v>
      </c>
      <c r="C118" s="210">
        <f t="shared" si="5"/>
        <v>17.52112652725275</v>
      </c>
      <c r="D118" s="52"/>
      <c r="E118" s="59"/>
    </row>
    <row r="119" spans="1:5" ht="12">
      <c r="A119" s="54" t="s">
        <v>36</v>
      </c>
      <c r="B119" s="115">
        <f>'TBLA Expense'!E120+'TBLA Expense'!L120</f>
        <v>121064.88064423396</v>
      </c>
      <c r="C119" s="210">
        <f t="shared" si="5"/>
        <v>95.10202721463783</v>
      </c>
      <c r="D119" s="52"/>
      <c r="E119" s="59"/>
    </row>
    <row r="120" spans="1:5" ht="12">
      <c r="A120" s="51" t="s">
        <v>25</v>
      </c>
      <c r="B120" s="115">
        <f>'TBLA Expense'!E121+'TBLA Expense'!L121</f>
        <v>61944.606177924215</v>
      </c>
      <c r="C120" s="210">
        <f t="shared" si="5"/>
        <v>48.660334782344236</v>
      </c>
      <c r="D120" s="52"/>
      <c r="E120" s="59"/>
    </row>
    <row r="121" spans="1:5" ht="12">
      <c r="A121" s="51" t="s">
        <v>29</v>
      </c>
      <c r="B121" s="115">
        <f>'TBLA Expense'!E122+'TBLA Expense'!L122</f>
        <v>47440.0782092257</v>
      </c>
      <c r="C121" s="210">
        <f t="shared" si="5"/>
        <v>37.26636151549544</v>
      </c>
      <c r="D121" s="52"/>
      <c r="E121" s="59"/>
    </row>
    <row r="122" spans="1:5" ht="12">
      <c r="A122" s="96" t="s">
        <v>155</v>
      </c>
      <c r="B122" s="115">
        <f>'TBLA Expense'!E85+'TBLA Expense'!L85</f>
        <v>1191869.3435585422</v>
      </c>
      <c r="C122" s="210">
        <f t="shared" si="5"/>
        <v>936.2681410514864</v>
      </c>
      <c r="D122" s="52"/>
      <c r="E122" s="59"/>
    </row>
    <row r="123" spans="1:5" ht="12">
      <c r="A123" s="51" t="s">
        <v>276</v>
      </c>
      <c r="B123" s="115">
        <f>'TBLA Expense'!E84+'TBLA Expense'!E86+'TBLA Expense'!L84</f>
        <v>282397</v>
      </c>
      <c r="C123" s="210">
        <f t="shared" si="5"/>
        <v>221.83582089552237</v>
      </c>
      <c r="D123" s="52"/>
      <c r="E123" s="59"/>
    </row>
    <row r="124" spans="1:5" ht="12">
      <c r="A124" s="51" t="s">
        <v>275</v>
      </c>
      <c r="B124" s="115">
        <f>'TBLA Expense'!E124+'TBLA Expense'!L124</f>
        <v>85389.26029654036</v>
      </c>
      <c r="C124" s="210">
        <f t="shared" si="5"/>
        <v>67.0771879784292</v>
      </c>
      <c r="D124" s="52"/>
      <c r="E124" s="59"/>
    </row>
    <row r="125" spans="1:5" ht="12">
      <c r="A125" s="51" t="s">
        <v>277</v>
      </c>
      <c r="B125" s="115">
        <f>'TBLA Expense'!E123+'TBLA Expense'!L123</f>
        <v>16321.6</v>
      </c>
      <c r="C125" s="210"/>
      <c r="D125" s="52"/>
      <c r="E125" s="59"/>
    </row>
    <row r="126" spans="1:5" ht="12">
      <c r="A126" s="51" t="s">
        <v>47</v>
      </c>
      <c r="B126" s="115"/>
      <c r="C126" s="210">
        <f aca="true" t="shared" si="6" ref="C126:C137">B126/$B$1</f>
        <v>0</v>
      </c>
      <c r="D126" s="52"/>
      <c r="E126" s="59"/>
    </row>
    <row r="127" spans="1:5" s="47" customFormat="1" ht="12">
      <c r="A127" s="20" t="s">
        <v>37</v>
      </c>
      <c r="B127" s="110">
        <f>SUM(B114:B126)</f>
        <v>2415224.14961332</v>
      </c>
      <c r="C127" s="210">
        <f t="shared" si="6"/>
        <v>1897.2695597905106</v>
      </c>
      <c r="D127" s="52"/>
      <c r="E127" s="76"/>
    </row>
    <row r="128" spans="1:5" s="47" customFormat="1" ht="12">
      <c r="A128" s="63"/>
      <c r="B128" s="110">
        <f>B127-'Combined '!E101-'Combined '!E65</f>
        <v>0</v>
      </c>
      <c r="C128" s="210">
        <f t="shared" si="6"/>
        <v>0</v>
      </c>
      <c r="D128" s="43"/>
      <c r="E128" s="76"/>
    </row>
    <row r="129" spans="1:5" s="47" customFormat="1" ht="12">
      <c r="A129" s="17" t="s">
        <v>83</v>
      </c>
      <c r="B129" s="116"/>
      <c r="C129" s="210">
        <f t="shared" si="6"/>
        <v>0</v>
      </c>
      <c r="D129" s="42"/>
      <c r="E129" s="76"/>
    </row>
    <row r="130" spans="1:5" s="47" customFormat="1" ht="12">
      <c r="A130" s="96" t="s">
        <v>85</v>
      </c>
      <c r="B130" s="117">
        <f>'TBLA Expense'!C127+'TBLA Expense'!C128+'TBLA Expense'!J127+'TBLA Expense'!J128</f>
        <v>0</v>
      </c>
      <c r="C130" s="210">
        <f t="shared" si="6"/>
        <v>0</v>
      </c>
      <c r="D130" s="95"/>
      <c r="E130" s="76"/>
    </row>
    <row r="131" spans="1:5" s="47" customFormat="1" ht="12">
      <c r="A131" s="96" t="s">
        <v>111</v>
      </c>
      <c r="B131" s="117">
        <f>'TBLA Expense'!E129+'TBLA Expense'!L129</f>
        <v>89738.58583196046</v>
      </c>
      <c r="C131" s="210">
        <f t="shared" si="6"/>
        <v>70.49378305731379</v>
      </c>
      <c r="D131" s="79" t="s">
        <v>279</v>
      </c>
      <c r="E131" s="76"/>
    </row>
    <row r="132" spans="1:5" s="56" customFormat="1" ht="12">
      <c r="A132" s="96" t="s">
        <v>84</v>
      </c>
      <c r="B132" s="117">
        <f>'TBLA Expense'!E130+'TBLA Expense'!L130</f>
        <v>500000</v>
      </c>
      <c r="C132" s="210">
        <f t="shared" si="6"/>
        <v>392.77297721916733</v>
      </c>
      <c r="D132" s="95"/>
      <c r="E132" s="57"/>
    </row>
    <row r="133" spans="1:5" ht="24">
      <c r="A133" s="23" t="s">
        <v>169</v>
      </c>
      <c r="B133" s="117"/>
      <c r="C133" s="210">
        <f t="shared" si="6"/>
        <v>0</v>
      </c>
      <c r="D133" s="95"/>
      <c r="E133" s="59"/>
    </row>
    <row r="134" spans="1:5" ht="12">
      <c r="A134" s="96" t="s">
        <v>167</v>
      </c>
      <c r="B134" s="111"/>
      <c r="C134" s="210">
        <f t="shared" si="6"/>
        <v>0</v>
      </c>
      <c r="D134" s="95"/>
      <c r="E134" s="59"/>
    </row>
    <row r="135" spans="1:5" ht="12">
      <c r="A135" s="51" t="s">
        <v>47</v>
      </c>
      <c r="B135" s="109"/>
      <c r="C135" s="210">
        <f t="shared" si="6"/>
        <v>0</v>
      </c>
      <c r="D135" s="41"/>
      <c r="E135" s="59"/>
    </row>
    <row r="136" spans="1:5" ht="12">
      <c r="A136" s="51" t="s">
        <v>47</v>
      </c>
      <c r="B136" s="109"/>
      <c r="C136" s="210">
        <f t="shared" si="6"/>
        <v>0</v>
      </c>
      <c r="D136" s="41"/>
      <c r="E136" s="59"/>
    </row>
    <row r="137" spans="1:5" ht="12">
      <c r="A137" s="20" t="s">
        <v>38</v>
      </c>
      <c r="B137" s="110">
        <f>SUM(B130:B136)</f>
        <v>589738.5858319604</v>
      </c>
      <c r="C137" s="210">
        <f t="shared" si="6"/>
        <v>463.2667602764811</v>
      </c>
      <c r="D137" s="43"/>
      <c r="E137" s="59"/>
    </row>
    <row r="138" spans="1:5" ht="12">
      <c r="A138" s="20"/>
      <c r="B138" s="110">
        <f>B137-'Combined '!E106</f>
        <v>0</v>
      </c>
      <c r="C138" s="210"/>
      <c r="D138" s="43"/>
      <c r="E138" s="59"/>
    </row>
    <row r="139" spans="1:5" ht="12">
      <c r="A139" s="20" t="s">
        <v>39</v>
      </c>
      <c r="B139" s="110">
        <f>B137+B127+B111+B88+B77+B65+B48</f>
        <v>13016701.984760247</v>
      </c>
      <c r="C139" s="210">
        <f>B139/$B$1</f>
        <v>10225.217584257853</v>
      </c>
      <c r="D139" s="43"/>
      <c r="E139" s="59"/>
    </row>
    <row r="140" spans="1:5" ht="12">
      <c r="A140" s="130"/>
      <c r="B140" s="118">
        <f>B139-'Combined '!E108</f>
        <v>0</v>
      </c>
      <c r="C140" s="210">
        <f>B140/$B$1</f>
        <v>0</v>
      </c>
      <c r="D140" s="43"/>
      <c r="E140" s="59"/>
    </row>
    <row r="141" spans="1:5" s="47" customFormat="1" ht="12">
      <c r="A141" s="129" t="s">
        <v>87</v>
      </c>
      <c r="B141" s="118">
        <f>B34-B139</f>
        <v>51713.13550334424</v>
      </c>
      <c r="C141" s="210">
        <f>B141/$B$1</f>
        <v>40.62304438597348</v>
      </c>
      <c r="D141" s="92"/>
      <c r="E141" s="76"/>
    </row>
    <row r="142" spans="2:4" ht="12">
      <c r="B142" s="48"/>
      <c r="C142" s="48"/>
      <c r="D142" s="48"/>
    </row>
    <row r="143" spans="2:4" ht="12">
      <c r="B143" s="48"/>
      <c r="C143" s="48"/>
      <c r="D143" s="48"/>
    </row>
  </sheetData>
  <sheetProtection/>
  <mergeCells count="1">
    <mergeCell ref="A3:D3"/>
  </mergeCells>
  <printOptions/>
  <pageMargins left="0.7" right="0.7" top="0.75" bottom="0.75" header="0.3" footer="0.3"/>
  <pageSetup horizontalDpi="1200" verticalDpi="1200" orientation="portrait" scale="91"/>
</worksheet>
</file>

<file path=xl/worksheets/sheet9.xml><?xml version="1.0" encoding="utf-8"?>
<worksheet xmlns="http://schemas.openxmlformats.org/spreadsheetml/2006/main" xmlns:r="http://schemas.openxmlformats.org/officeDocument/2006/relationships">
  <sheetPr>
    <tabColor rgb="FF00B050"/>
  </sheetPr>
  <dimension ref="A1:AC60"/>
  <sheetViews>
    <sheetView workbookViewId="0" topLeftCell="A1">
      <selection activeCell="A1" sqref="A1:F1"/>
    </sheetView>
  </sheetViews>
  <sheetFormatPr defaultColWidth="15.7109375" defaultRowHeight="15"/>
  <cols>
    <col min="1" max="1" width="33.140625" style="48" customWidth="1"/>
    <col min="2" max="2" width="14.421875" style="48" customWidth="1"/>
    <col min="3" max="5" width="15.7109375" style="48" customWidth="1"/>
    <col min="6" max="6" width="15.7109375" style="45" customWidth="1"/>
    <col min="7" max="10" width="15.7109375" style="45" hidden="1" customWidth="1"/>
    <col min="11" max="29" width="15.7109375" style="45" customWidth="1"/>
    <col min="30" max="16384" width="15.7109375" style="48" customWidth="1"/>
  </cols>
  <sheetData>
    <row r="1" spans="1:6" ht="18" customHeight="1">
      <c r="A1" s="301" t="s">
        <v>108</v>
      </c>
      <c r="B1" s="301"/>
      <c r="C1" s="301"/>
      <c r="D1" s="301"/>
      <c r="E1" s="301"/>
      <c r="F1" s="301"/>
    </row>
    <row r="2" spans="1:29" s="4" customFormat="1" ht="44.25" customHeight="1">
      <c r="A2" s="302"/>
      <c r="B2" s="302"/>
      <c r="C2" s="302"/>
      <c r="D2" s="302"/>
      <c r="E2" s="302"/>
      <c r="F2" s="302"/>
      <c r="G2" s="3"/>
      <c r="H2" s="3"/>
      <c r="I2" s="3"/>
      <c r="J2" s="3"/>
      <c r="K2" s="3"/>
      <c r="L2" s="3"/>
      <c r="M2" s="3"/>
      <c r="N2" s="3"/>
      <c r="O2" s="3"/>
      <c r="P2" s="3"/>
      <c r="Q2" s="3"/>
      <c r="R2" s="3"/>
      <c r="S2" s="3"/>
      <c r="T2" s="3"/>
      <c r="U2" s="3"/>
      <c r="V2" s="3"/>
      <c r="W2" s="3"/>
      <c r="X2" s="3"/>
      <c r="Y2" s="3"/>
      <c r="Z2" s="3"/>
      <c r="AA2" s="3"/>
      <c r="AB2" s="3"/>
      <c r="AC2" s="3"/>
    </row>
    <row r="3" spans="1:29" s="6" customFormat="1" ht="12.75" thickBot="1">
      <c r="A3" s="5"/>
      <c r="B3" s="3"/>
      <c r="C3" s="3"/>
      <c r="D3" s="3"/>
      <c r="E3" s="3"/>
      <c r="F3" s="3"/>
      <c r="G3" s="3"/>
      <c r="H3" s="3"/>
      <c r="I3" s="3"/>
      <c r="J3" s="3"/>
      <c r="K3" s="3"/>
      <c r="L3" s="3"/>
      <c r="M3" s="3"/>
      <c r="N3" s="3"/>
      <c r="O3" s="3"/>
      <c r="P3" s="3"/>
      <c r="Q3" s="3"/>
      <c r="R3" s="3"/>
      <c r="S3" s="3"/>
      <c r="T3" s="3"/>
      <c r="U3" s="3"/>
      <c r="V3" s="3"/>
      <c r="W3" s="3"/>
      <c r="X3" s="3"/>
      <c r="Y3" s="3"/>
      <c r="Z3" s="3"/>
      <c r="AA3" s="3"/>
      <c r="AB3" s="3"/>
      <c r="AC3" s="3"/>
    </row>
    <row r="4" spans="1:29" s="6" customFormat="1" ht="18.75" customHeight="1" thickBot="1">
      <c r="A4" s="303" t="s">
        <v>57</v>
      </c>
      <c r="B4" s="304"/>
      <c r="C4" s="304"/>
      <c r="D4" s="304"/>
      <c r="E4" s="304"/>
      <c r="F4" s="305"/>
      <c r="G4" s="3"/>
      <c r="H4" s="3"/>
      <c r="I4" s="3"/>
      <c r="J4" s="3"/>
      <c r="K4" s="3"/>
      <c r="L4" s="3"/>
      <c r="M4" s="3"/>
      <c r="N4" s="3"/>
      <c r="O4" s="3"/>
      <c r="P4" s="3"/>
      <c r="Q4" s="3"/>
      <c r="R4" s="3"/>
      <c r="S4" s="3"/>
      <c r="T4" s="3"/>
      <c r="U4" s="3"/>
      <c r="V4" s="3"/>
      <c r="W4" s="3"/>
      <c r="X4" s="3"/>
      <c r="Y4" s="3"/>
      <c r="Z4" s="3"/>
      <c r="AA4" s="3"/>
      <c r="AB4" s="3"/>
      <c r="AC4" s="3"/>
    </row>
    <row r="5" spans="1:28" s="6" customFormat="1" ht="50.25" customHeight="1" thickBot="1">
      <c r="A5" s="303" t="s">
        <v>280</v>
      </c>
      <c r="B5" s="304"/>
      <c r="C5" s="304"/>
      <c r="D5" s="304"/>
      <c r="E5" s="304"/>
      <c r="F5" s="305"/>
      <c r="G5" s="3">
        <f>'Staffing Year 2'!G5</f>
        <v>0.28</v>
      </c>
      <c r="H5" s="3"/>
      <c r="I5" s="3"/>
      <c r="J5" s="3"/>
      <c r="K5" s="3"/>
      <c r="L5" s="3"/>
      <c r="M5" s="3"/>
      <c r="N5" s="3"/>
      <c r="O5" s="3"/>
      <c r="P5" s="3"/>
      <c r="Q5" s="3"/>
      <c r="R5" s="3"/>
      <c r="S5" s="3"/>
      <c r="T5" s="3"/>
      <c r="U5" s="3"/>
      <c r="V5" s="3"/>
      <c r="W5" s="3"/>
      <c r="X5" s="3"/>
      <c r="Y5" s="3"/>
      <c r="Z5" s="3"/>
      <c r="AA5" s="3"/>
      <c r="AB5" s="3"/>
    </row>
    <row r="6" spans="1:28" s="4" customFormat="1" ht="27" customHeight="1" thickBot="1">
      <c r="A6" s="21" t="s">
        <v>68</v>
      </c>
      <c r="B6" s="21" t="s">
        <v>71</v>
      </c>
      <c r="C6" s="21" t="s">
        <v>72</v>
      </c>
      <c r="D6" s="67" t="s">
        <v>69</v>
      </c>
      <c r="E6" s="21" t="s">
        <v>67</v>
      </c>
      <c r="F6" s="21" t="s">
        <v>70</v>
      </c>
      <c r="G6" s="3"/>
      <c r="H6" s="3"/>
      <c r="I6" s="3"/>
      <c r="J6" s="3"/>
      <c r="K6" s="3"/>
      <c r="L6" s="3"/>
      <c r="M6" s="3"/>
      <c r="N6" s="3"/>
      <c r="O6" s="3"/>
      <c r="P6" s="3"/>
      <c r="Q6" s="3"/>
      <c r="R6" s="3"/>
      <c r="S6" s="3"/>
      <c r="T6" s="3"/>
      <c r="U6" s="3"/>
      <c r="V6" s="3"/>
      <c r="W6" s="3"/>
      <c r="X6" s="3"/>
      <c r="Y6" s="3"/>
      <c r="Z6" s="3"/>
      <c r="AA6" s="3"/>
      <c r="AB6" s="3"/>
    </row>
    <row r="7" spans="1:28" s="6" customFormat="1" ht="12">
      <c r="A7" s="9" t="str">
        <f>'Staffing Year 2'!A7</f>
        <v>Regular Ed Instructors</v>
      </c>
      <c r="B7" s="69">
        <f>'TBLA Expense'!E9+'TBLA Expense'!L9</f>
        <v>54.6827008555652</v>
      </c>
      <c r="C7" s="69">
        <f>D7/B7</f>
        <v>41842.570734229346</v>
      </c>
      <c r="D7" s="69">
        <f>J7</f>
        <v>2288064.7784876907</v>
      </c>
      <c r="E7" s="69">
        <f aca="true" t="shared" si="0" ref="E7:E46">D7*$G$5</f>
        <v>640658.1379765534</v>
      </c>
      <c r="F7" s="70">
        <f>D7+E7</f>
        <v>2928722.916464244</v>
      </c>
      <c r="G7" s="3"/>
      <c r="H7" s="278">
        <f>'TBLA Expense'!E9*'TBLA Expense'!E36</f>
        <v>1148060.7301387922</v>
      </c>
      <c r="I7" s="278">
        <f>'TBLA Expense'!L9*'TBLA Expense'!L36</f>
        <v>1140004.0483488983</v>
      </c>
      <c r="J7" s="278">
        <f>H7+I7</f>
        <v>2288064.7784876907</v>
      </c>
      <c r="K7" s="3"/>
      <c r="L7" s="3"/>
      <c r="M7" s="3"/>
      <c r="N7" s="3"/>
      <c r="O7" s="3"/>
      <c r="P7" s="3"/>
      <c r="Q7" s="3"/>
      <c r="R7" s="3"/>
      <c r="S7" s="3"/>
      <c r="T7" s="3"/>
      <c r="U7" s="3"/>
      <c r="V7" s="3"/>
      <c r="W7" s="3"/>
      <c r="X7" s="3"/>
      <c r="Y7" s="3"/>
      <c r="Z7" s="3"/>
      <c r="AA7" s="3"/>
      <c r="AB7" s="3"/>
    </row>
    <row r="8" spans="1:28" s="6" customFormat="1" ht="12">
      <c r="A8" s="9" t="str">
        <f>'Staffing Year 2'!A8</f>
        <v>Teachers Assistants</v>
      </c>
      <c r="B8" s="69">
        <f>'TBLA Expense'!E10+'TBLA Expense'!L10</f>
        <v>20.57652340966069</v>
      </c>
      <c r="C8" s="69">
        <f aca="true" t="shared" si="1" ref="C8:C25">D8/B8</f>
        <v>23207.69223683832</v>
      </c>
      <c r="D8" s="69">
        <f aca="true" t="shared" si="2" ref="D8:D25">J8</f>
        <v>477533.6225955044</v>
      </c>
      <c r="E8" s="69">
        <f t="shared" si="0"/>
        <v>133709.41432674124</v>
      </c>
      <c r="F8" s="70">
        <f aca="true" t="shared" si="3" ref="F8:F46">D8+E8</f>
        <v>611243.0369222456</v>
      </c>
      <c r="G8" s="3"/>
      <c r="H8" s="278">
        <f>'TBLA Expense'!E10*'TBLA Expense'!E37</f>
        <v>351026.77608047146</v>
      </c>
      <c r="I8" s="278">
        <f>'TBLA Expense'!L10*'TBLA Expense'!L37</f>
        <v>126506.84651503294</v>
      </c>
      <c r="J8" s="278">
        <f aca="true" t="shared" si="4" ref="J8:J26">H8+I8</f>
        <v>477533.6225955044</v>
      </c>
      <c r="K8" s="3"/>
      <c r="L8" s="3"/>
      <c r="M8" s="3"/>
      <c r="N8" s="3"/>
      <c r="O8" s="3"/>
      <c r="P8" s="3"/>
      <c r="Q8" s="3"/>
      <c r="R8" s="3"/>
      <c r="S8" s="3"/>
      <c r="T8" s="3"/>
      <c r="U8" s="3"/>
      <c r="V8" s="3"/>
      <c r="W8" s="3"/>
      <c r="X8" s="3"/>
      <c r="Y8" s="3"/>
      <c r="Z8" s="3"/>
      <c r="AA8" s="3"/>
      <c r="AB8" s="3"/>
    </row>
    <row r="9" spans="1:28" s="6" customFormat="1" ht="12">
      <c r="A9" s="9" t="str">
        <f>'Staffing Year 2'!A9</f>
        <v>Special Ed Instructors</v>
      </c>
      <c r="B9" s="69">
        <f>'TBLA Expense'!E11+'TBLA Expense'!L11</f>
        <v>8.280782608695652</v>
      </c>
      <c r="C9" s="69">
        <f t="shared" si="1"/>
        <v>42726.98057026746</v>
      </c>
      <c r="D9" s="69">
        <f t="shared" si="2"/>
        <v>353812.8376283478</v>
      </c>
      <c r="E9" s="69">
        <f t="shared" si="0"/>
        <v>99067.59453593739</v>
      </c>
      <c r="F9" s="70">
        <f t="shared" si="3"/>
        <v>452880.4321642852</v>
      </c>
      <c r="G9" s="3"/>
      <c r="H9" s="278">
        <f>'TBLA Expense'!E11*'TBLA Expense'!E38</f>
        <v>167903.60432399999</v>
      </c>
      <c r="I9" s="278">
        <f>'TBLA Expense'!L11*'TBLA Expense'!L38</f>
        <v>185909.23330434784</v>
      </c>
      <c r="J9" s="278">
        <f t="shared" si="4"/>
        <v>353812.8376283478</v>
      </c>
      <c r="K9" s="3"/>
      <c r="L9" s="3"/>
      <c r="M9" s="3"/>
      <c r="N9" s="3"/>
      <c r="O9" s="3"/>
      <c r="P9" s="3"/>
      <c r="Q9" s="3"/>
      <c r="R9" s="3"/>
      <c r="S9" s="3"/>
      <c r="T9" s="3"/>
      <c r="U9" s="3"/>
      <c r="V9" s="3"/>
      <c r="W9" s="3"/>
      <c r="X9" s="3"/>
      <c r="Y9" s="3"/>
      <c r="Z9" s="3"/>
      <c r="AA9" s="3"/>
      <c r="AB9" s="3"/>
    </row>
    <row r="10" spans="1:10" ht="12">
      <c r="A10" s="9" t="str">
        <f>'Staffing Year 2'!A10</f>
        <v>Specials Instructors (Music, Art, Spanish, PE)</v>
      </c>
      <c r="B10" s="69">
        <f>'TBLA Expense'!E12+'TBLA Expense'!L12</f>
        <v>19.662809170108453</v>
      </c>
      <c r="C10" s="69">
        <f t="shared" si="1"/>
        <v>43586.012679107</v>
      </c>
      <c r="D10" s="69">
        <f t="shared" si="2"/>
        <v>857023.4497952084</v>
      </c>
      <c r="E10" s="69">
        <f t="shared" si="0"/>
        <v>239966.56594265837</v>
      </c>
      <c r="F10" s="70">
        <f t="shared" si="3"/>
        <v>1096990.0157378667</v>
      </c>
      <c r="H10" s="278">
        <f>'TBLA Expense'!E12*'TBLA Expense'!E39</f>
        <v>230678.2733</v>
      </c>
      <c r="I10" s="278">
        <f>'TBLA Expense'!L12*'TBLA Expense'!L39</f>
        <v>626345.1764952084</v>
      </c>
      <c r="J10" s="278">
        <f t="shared" si="4"/>
        <v>857023.4497952084</v>
      </c>
    </row>
    <row r="11" spans="1:10" ht="12">
      <c r="A11" s="9" t="str">
        <f>'Staffing Year 2'!A11</f>
        <v>Library</v>
      </c>
      <c r="B11" s="69">
        <f>'TBLA Expense'!E13+'TBLA Expense'!L13</f>
        <v>0</v>
      </c>
      <c r="C11" s="69">
        <v>0</v>
      </c>
      <c r="D11" s="69">
        <f t="shared" si="2"/>
        <v>0</v>
      </c>
      <c r="E11" s="69">
        <f t="shared" si="0"/>
        <v>0</v>
      </c>
      <c r="F11" s="70">
        <f t="shared" si="3"/>
        <v>0</v>
      </c>
      <c r="H11" s="278">
        <f>'TBLA Expense'!E13*'TBLA Expense'!E40</f>
        <v>0</v>
      </c>
      <c r="I11" s="278">
        <f>'TBLA Expense'!L13*'TBLA Expense'!L40</f>
        <v>0</v>
      </c>
      <c r="J11" s="278">
        <f t="shared" si="4"/>
        <v>0</v>
      </c>
    </row>
    <row r="12" spans="1:10" ht="12">
      <c r="A12" s="9" t="str">
        <f>'Staffing Year 2'!A12</f>
        <v>Reading Intervention/Resource Teacher/HA Coord/Ac. Coach</v>
      </c>
      <c r="B12" s="69">
        <f>'TBLA Expense'!E14+'TBLA Expense'!L14</f>
        <v>3</v>
      </c>
      <c r="C12" s="69">
        <f t="shared" si="1"/>
        <v>28410.8051</v>
      </c>
      <c r="D12" s="69">
        <f t="shared" si="2"/>
        <v>85232.41530000001</v>
      </c>
      <c r="E12" s="69">
        <f t="shared" si="0"/>
        <v>23865.076284000006</v>
      </c>
      <c r="F12" s="70">
        <f t="shared" si="3"/>
        <v>109097.49158400002</v>
      </c>
      <c r="H12" s="278">
        <f>'TBLA Expense'!E14*'TBLA Expense'!E41</f>
        <v>0</v>
      </c>
      <c r="I12" s="278">
        <f>'TBLA Expense'!L14*'TBLA Expense'!L41</f>
        <v>85232.41530000001</v>
      </c>
      <c r="J12" s="278">
        <f t="shared" si="4"/>
        <v>85232.41530000001</v>
      </c>
    </row>
    <row r="13" spans="1:10" ht="12">
      <c r="A13" s="9" t="str">
        <f>'Staffing Year 2'!A13</f>
        <v>Additional Teachers (account for uneven splits)/Title I Teachers</v>
      </c>
      <c r="B13" s="69">
        <f>'TBLA Expense'!E15+'TBLA Expense'!L15</f>
        <v>5</v>
      </c>
      <c r="C13" s="69">
        <f t="shared" si="1"/>
        <v>41599.49798530708</v>
      </c>
      <c r="D13" s="69">
        <f t="shared" si="2"/>
        <v>207997.4899265354</v>
      </c>
      <c r="E13" s="69">
        <f t="shared" si="0"/>
        <v>58239.297179429916</v>
      </c>
      <c r="F13" s="70">
        <f t="shared" si="3"/>
        <v>266236.7871059653</v>
      </c>
      <c r="H13" s="278">
        <f>'TBLA Expense'!E15*'TBLA Expense'!E42</f>
        <v>81608</v>
      </c>
      <c r="I13" s="278">
        <f>'TBLA Expense'!L15*'TBLA Expense'!L42</f>
        <v>126389.4899265354</v>
      </c>
      <c r="J13" s="278">
        <f t="shared" si="4"/>
        <v>207997.4899265354</v>
      </c>
    </row>
    <row r="14" spans="1:10" ht="12">
      <c r="A14" s="9" t="str">
        <f>'Staffing Year 2'!A14</f>
        <v>Teaching Fellows/Interns</v>
      </c>
      <c r="B14" s="69">
        <f>'TBLA Expense'!E16+'TBLA Expense'!L16</f>
        <v>0</v>
      </c>
      <c r="C14" s="69"/>
      <c r="D14" s="69">
        <f t="shared" si="2"/>
        <v>0</v>
      </c>
      <c r="E14" s="69">
        <f t="shared" si="0"/>
        <v>0</v>
      </c>
      <c r="F14" s="70">
        <f t="shared" si="3"/>
        <v>0</v>
      </c>
      <c r="H14" s="278">
        <f>'TBLA Expense'!E16*'TBLA Expense'!E43</f>
        <v>0</v>
      </c>
      <c r="I14" s="278">
        <f>'TBLA Expense'!L16*'TBLA Expense'!L43</f>
        <v>0</v>
      </c>
      <c r="J14" s="278">
        <f t="shared" si="4"/>
        <v>0</v>
      </c>
    </row>
    <row r="15" spans="1:28" s="6" customFormat="1" ht="12">
      <c r="A15" s="9" t="str">
        <f>'Staffing Year 2'!A15</f>
        <v>Additional Tas / Special Ed Para Professionals</v>
      </c>
      <c r="B15" s="69">
        <f>'TBLA Expense'!E17+'TBLA Expense'!L17</f>
        <v>11.572085442552538</v>
      </c>
      <c r="C15" s="69">
        <f t="shared" si="1"/>
        <v>20465.330636321458</v>
      </c>
      <c r="D15" s="69">
        <f t="shared" si="2"/>
        <v>236826.55473360003</v>
      </c>
      <c r="E15" s="69">
        <f t="shared" si="0"/>
        <v>66311.43532540802</v>
      </c>
      <c r="F15" s="70">
        <f t="shared" si="3"/>
        <v>303137.99005900807</v>
      </c>
      <c r="G15" s="3"/>
      <c r="H15" s="278">
        <f>'TBLA Expense'!E17*'TBLA Expense'!E44</f>
        <v>107226.52209360001</v>
      </c>
      <c r="I15" s="278">
        <f>'TBLA Expense'!L17*'TBLA Expense'!L44</f>
        <v>129600.03264000002</v>
      </c>
      <c r="J15" s="278">
        <f t="shared" si="4"/>
        <v>236826.55473360003</v>
      </c>
      <c r="K15" s="3"/>
      <c r="L15" s="3"/>
      <c r="M15" s="3"/>
      <c r="N15" s="3"/>
      <c r="O15" s="3"/>
      <c r="P15" s="3"/>
      <c r="Q15" s="3"/>
      <c r="R15" s="3"/>
      <c r="S15" s="3"/>
      <c r="T15" s="3"/>
      <c r="U15" s="3"/>
      <c r="V15" s="3"/>
      <c r="W15" s="3"/>
      <c r="X15" s="3"/>
      <c r="Y15" s="3"/>
      <c r="Z15" s="3"/>
      <c r="AA15" s="3"/>
      <c r="AB15" s="3"/>
    </row>
    <row r="16" spans="1:10" ht="12">
      <c r="A16" s="9" t="str">
        <f>'Staffing Year 2'!A16</f>
        <v>Enrollment Coordinator</v>
      </c>
      <c r="B16" s="69">
        <f>'TBLA Expense'!E18+'TBLA Expense'!L18</f>
        <v>0</v>
      </c>
      <c r="C16" s="69"/>
      <c r="D16" s="69">
        <f t="shared" si="2"/>
        <v>0</v>
      </c>
      <c r="E16" s="69">
        <f t="shared" si="0"/>
        <v>0</v>
      </c>
      <c r="F16" s="70">
        <f t="shared" si="3"/>
        <v>0</v>
      </c>
      <c r="H16" s="278">
        <f>'TBLA Expense'!E18*'TBLA Expense'!E45</f>
        <v>0</v>
      </c>
      <c r="I16" s="278">
        <f>'TBLA Expense'!L18*'TBLA Expense'!L45</f>
        <v>0</v>
      </c>
      <c r="J16" s="278">
        <f t="shared" si="4"/>
        <v>0</v>
      </c>
    </row>
    <row r="17" spans="1:10" ht="12">
      <c r="A17" s="9" t="str">
        <f>'Staffing Year 2'!A17</f>
        <v>Principals</v>
      </c>
      <c r="B17" s="69">
        <f>'TBLA Expense'!E19+'TBLA Expense'!L19</f>
        <v>2</v>
      </c>
      <c r="C17" s="69">
        <f t="shared" si="1"/>
        <v>93339.15</v>
      </c>
      <c r="D17" s="69">
        <f t="shared" si="2"/>
        <v>186678.3</v>
      </c>
      <c r="E17" s="69">
        <f t="shared" si="0"/>
        <v>52269.924</v>
      </c>
      <c r="F17" s="70">
        <f t="shared" si="3"/>
        <v>238948.224</v>
      </c>
      <c r="H17" s="278">
        <f>'TBLA Expense'!E19*'TBLA Expense'!E46</f>
        <v>86708.5</v>
      </c>
      <c r="I17" s="278">
        <f>'TBLA Expense'!L19*'TBLA Expense'!L46</f>
        <v>99969.8</v>
      </c>
      <c r="J17" s="278">
        <f t="shared" si="4"/>
        <v>186678.3</v>
      </c>
    </row>
    <row r="18" spans="1:10" ht="12">
      <c r="A18" s="9" t="str">
        <f>'Staffing Year 2'!A18</f>
        <v>Assistant Principals/Instructional Coaches</v>
      </c>
      <c r="B18" s="69">
        <f>'TBLA Expense'!E20+'TBLA Expense'!L20</f>
        <v>4</v>
      </c>
      <c r="C18" s="69">
        <f t="shared" si="1"/>
        <v>56008.5905</v>
      </c>
      <c r="D18" s="69">
        <f t="shared" si="2"/>
        <v>224034.362</v>
      </c>
      <c r="E18" s="69">
        <f t="shared" si="0"/>
        <v>62729.621360000005</v>
      </c>
      <c r="F18" s="70">
        <f t="shared" si="3"/>
        <v>286763.98336</v>
      </c>
      <c r="H18" s="278">
        <f>'TBLA Expense'!E20*'TBLA Expense'!E47</f>
        <v>86320.862</v>
      </c>
      <c r="I18" s="278">
        <f>'TBLA Expense'!L20*'TBLA Expense'!L47</f>
        <v>137713.5</v>
      </c>
      <c r="J18" s="278">
        <f t="shared" si="4"/>
        <v>224034.362</v>
      </c>
    </row>
    <row r="19" spans="1:10" ht="12">
      <c r="A19" s="9" t="str">
        <f>'Staffing Year 2'!A19</f>
        <v>Director of Operations</v>
      </c>
      <c r="B19" s="69">
        <f>'TBLA Expense'!E21+'TBLA Expense'!L21</f>
        <v>0</v>
      </c>
      <c r="C19" s="69"/>
      <c r="D19" s="69">
        <f t="shared" si="2"/>
        <v>0</v>
      </c>
      <c r="E19" s="69">
        <f t="shared" si="0"/>
        <v>0</v>
      </c>
      <c r="F19" s="70">
        <f t="shared" si="3"/>
        <v>0</v>
      </c>
      <c r="H19" s="278">
        <f>'TBLA Expense'!E21*'TBLA Expense'!E48</f>
        <v>0</v>
      </c>
      <c r="I19" s="278">
        <f>'TBLA Expense'!L21*'TBLA Expense'!L48</f>
        <v>0</v>
      </c>
      <c r="J19" s="278">
        <f t="shared" si="4"/>
        <v>0</v>
      </c>
    </row>
    <row r="20" spans="1:10" ht="12">
      <c r="A20" s="9" t="str">
        <f>'Staffing Year 2'!A20</f>
        <v>Custodial</v>
      </c>
      <c r="B20" s="69">
        <f>'TBLA Expense'!E22+'TBLA Expense'!L22</f>
        <v>13</v>
      </c>
      <c r="C20" s="69">
        <f t="shared" si="1"/>
        <v>27688.966646153847</v>
      </c>
      <c r="D20" s="69">
        <f t="shared" si="2"/>
        <v>359956.5664</v>
      </c>
      <c r="E20" s="69">
        <f t="shared" si="0"/>
        <v>100787.83859200001</v>
      </c>
      <c r="F20" s="70">
        <f t="shared" si="3"/>
        <v>460744.404992</v>
      </c>
      <c r="H20" s="278">
        <f>'TBLA Expense'!E22*'TBLA Expense'!E49</f>
        <v>162536.20536000002</v>
      </c>
      <c r="I20" s="278">
        <f>'TBLA Expense'!L22*'TBLA Expense'!L49</f>
        <v>197420.36104000002</v>
      </c>
      <c r="J20" s="278">
        <f t="shared" si="4"/>
        <v>359956.5664</v>
      </c>
    </row>
    <row r="21" spans="1:10" ht="12">
      <c r="A21" s="9" t="str">
        <f>'Staffing Year 2'!A21</f>
        <v>Administrative/Clerical Staff</v>
      </c>
      <c r="B21" s="69">
        <f>'TBLA Expense'!E23+'TBLA Expense'!L23</f>
        <v>5</v>
      </c>
      <c r="C21" s="69">
        <f t="shared" si="1"/>
        <v>42576.9093176</v>
      </c>
      <c r="D21" s="69">
        <f t="shared" si="2"/>
        <v>212884.546588</v>
      </c>
      <c r="E21" s="69">
        <f t="shared" si="0"/>
        <v>59607.67304464</v>
      </c>
      <c r="F21" s="70">
        <f t="shared" si="3"/>
        <v>272492.21963264</v>
      </c>
      <c r="H21" s="278">
        <f>'TBLA Expense'!E23*'TBLA Expense'!E50</f>
        <v>95846.5558</v>
      </c>
      <c r="I21" s="278">
        <f>'TBLA Expense'!L23*'TBLA Expense'!L50</f>
        <v>117037.990788</v>
      </c>
      <c r="J21" s="278">
        <f t="shared" si="4"/>
        <v>212884.546588</v>
      </c>
    </row>
    <row r="22" spans="1:10" ht="12">
      <c r="A22" s="9" t="str">
        <f>'Staffing Year 2'!A22</f>
        <v>Other student services staff (Social Worker/Counselor)</v>
      </c>
      <c r="B22" s="69">
        <f>'TBLA Expense'!E24+'TBLA Expense'!L24</f>
        <v>6.221643171087212</v>
      </c>
      <c r="C22" s="69">
        <f t="shared" si="1"/>
        <v>36501.0991736634</v>
      </c>
      <c r="D22" s="69">
        <f t="shared" si="2"/>
        <v>227096.814411</v>
      </c>
      <c r="E22" s="69">
        <f t="shared" si="0"/>
        <v>63587.108035080004</v>
      </c>
      <c r="F22" s="70">
        <f aca="true" t="shared" si="5" ref="F22:F29">D22+E22</f>
        <v>290683.92244608</v>
      </c>
      <c r="H22" s="278">
        <f>'TBLA Expense'!E24*'TBLA Expense'!E51</f>
        <v>35788.168300000005</v>
      </c>
      <c r="I22" s="278">
        <f>'TBLA Expense'!L24*'TBLA Expense'!L51</f>
        <v>191308.646111</v>
      </c>
      <c r="J22" s="278">
        <f t="shared" si="4"/>
        <v>227096.814411</v>
      </c>
    </row>
    <row r="23" spans="1:28" s="6" customFormat="1" ht="12">
      <c r="A23" s="9" t="str">
        <f>'Staffing Year 2'!A23</f>
        <v>Behavioral Coordinator/Non-Instructional Aide</v>
      </c>
      <c r="B23" s="69">
        <f>'TBLA Expense'!E25+'TBLA Expense'!L25</f>
        <v>5</v>
      </c>
      <c r="C23" s="69">
        <f t="shared" si="1"/>
        <v>23489.175554600002</v>
      </c>
      <c r="D23" s="69">
        <f t="shared" si="2"/>
        <v>117445.87777300001</v>
      </c>
      <c r="E23" s="69">
        <f t="shared" si="0"/>
        <v>32884.84577644001</v>
      </c>
      <c r="F23" s="70">
        <f t="shared" si="5"/>
        <v>150330.72354944004</v>
      </c>
      <c r="G23" s="3"/>
      <c r="H23" s="278">
        <f>'TBLA Expense'!E25*'TBLA Expense'!E52</f>
        <v>49423.845</v>
      </c>
      <c r="I23" s="278">
        <f>'TBLA Expense'!L25*'TBLA Expense'!L52</f>
        <v>68022.03277300001</v>
      </c>
      <c r="J23" s="278">
        <f t="shared" si="4"/>
        <v>117445.87777300001</v>
      </c>
      <c r="K23" s="3"/>
      <c r="L23" s="3"/>
      <c r="M23" s="3"/>
      <c r="N23" s="3"/>
      <c r="O23" s="3"/>
      <c r="P23" s="3"/>
      <c r="Q23" s="3"/>
      <c r="R23" s="3"/>
      <c r="S23" s="3"/>
      <c r="T23" s="3"/>
      <c r="U23" s="3"/>
      <c r="V23" s="3"/>
      <c r="W23" s="3"/>
      <c r="X23" s="3"/>
      <c r="Y23" s="3"/>
      <c r="Z23" s="3"/>
      <c r="AA23" s="3"/>
      <c r="AB23" s="3"/>
    </row>
    <row r="24" spans="1:10" ht="12">
      <c r="A24" s="9" t="str">
        <f>'Staffing Year 2'!A24</f>
        <v>Nurse</v>
      </c>
      <c r="B24" s="69">
        <f>'TBLA Expense'!E26+'TBLA Expense'!L26</f>
        <v>1</v>
      </c>
      <c r="C24" s="69">
        <f t="shared" si="1"/>
        <v>50239.925</v>
      </c>
      <c r="D24" s="69">
        <f t="shared" si="2"/>
        <v>50239.925</v>
      </c>
      <c r="E24" s="69">
        <f t="shared" si="0"/>
        <v>14067.179000000002</v>
      </c>
      <c r="F24" s="70">
        <f t="shared" si="5"/>
        <v>64307.10400000001</v>
      </c>
      <c r="H24" s="278">
        <f>'TBLA Expense'!E26*'TBLA Expense'!E53</f>
        <v>50239.925</v>
      </c>
      <c r="I24" s="278">
        <f>'TBLA Expense'!L26*'TBLA Expense'!L53</f>
        <v>0</v>
      </c>
      <c r="J24" s="278">
        <f t="shared" si="4"/>
        <v>50239.925</v>
      </c>
    </row>
    <row r="25" spans="1:10" ht="12">
      <c r="A25" s="9" t="str">
        <f>'Staffing Year 2'!A25</f>
        <v>Dean of Scholars</v>
      </c>
      <c r="B25" s="69">
        <f>'TBLA Expense'!E27+'TBLA Expense'!L27</f>
        <v>3.2382980281754614</v>
      </c>
      <c r="C25" s="69">
        <f t="shared" si="1"/>
        <v>45603.01817532355</v>
      </c>
      <c r="D25" s="69">
        <f t="shared" si="2"/>
        <v>147676.163836</v>
      </c>
      <c r="E25" s="69">
        <f t="shared" si="0"/>
        <v>41349.32587408</v>
      </c>
      <c r="F25" s="70">
        <f t="shared" si="5"/>
        <v>189025.48971008</v>
      </c>
      <c r="H25" s="278">
        <f>'TBLA Expense'!E27*'TBLA Expense'!E54</f>
        <v>47918.1774</v>
      </c>
      <c r="I25" s="278">
        <f>'TBLA Expense'!L27*'TBLA Expense'!L54</f>
        <v>99757.98643599999</v>
      </c>
      <c r="J25" s="278">
        <f t="shared" si="4"/>
        <v>147676.163836</v>
      </c>
    </row>
    <row r="26" spans="1:10" ht="12">
      <c r="A26" s="9" t="str">
        <f>'Staffing Year 2'!A26</f>
        <v>Director of Special Education</v>
      </c>
      <c r="B26" s="69">
        <f>'TBLA Expense'!E28+'TBLA Expense'!L28</f>
        <v>0</v>
      </c>
      <c r="C26" s="68">
        <f>('TBLA Expense'!E55+'TBLA Expense'!L55)/2</f>
        <v>34898.13105</v>
      </c>
      <c r="D26" s="69">
        <f>B26*C26</f>
        <v>0</v>
      </c>
      <c r="E26" s="69">
        <f t="shared" si="0"/>
        <v>0</v>
      </c>
      <c r="F26" s="70">
        <f t="shared" si="5"/>
        <v>0</v>
      </c>
      <c r="H26" s="278">
        <f>'TBLA Expense'!E28*'TBLA Expense'!E55</f>
        <v>0</v>
      </c>
      <c r="I26" s="278">
        <f>'TBLA Expense'!L28*'TBLA Expense'!L55</f>
        <v>0</v>
      </c>
      <c r="J26" s="278">
        <f t="shared" si="4"/>
        <v>0</v>
      </c>
    </row>
    <row r="27" spans="1:10" ht="12">
      <c r="A27" s="9"/>
      <c r="B27" s="69"/>
      <c r="C27" s="68">
        <f>('TBLA Expense'!E56+'TBLA Expense'!L56)/2</f>
        <v>0</v>
      </c>
      <c r="D27" s="69">
        <f>B27*C27</f>
        <v>0</v>
      </c>
      <c r="E27" s="69">
        <f t="shared" si="0"/>
        <v>0</v>
      </c>
      <c r="F27" s="70">
        <f t="shared" si="5"/>
        <v>0</v>
      </c>
      <c r="H27" s="278">
        <f>'TBLA Expense'!E29*'TBLA Expense'!E56</f>
        <v>0</v>
      </c>
      <c r="I27" s="278">
        <f>'TBLA Expense'!L29*'TBLA Expense'!L56</f>
        <v>0</v>
      </c>
      <c r="J27" s="99"/>
    </row>
    <row r="28" spans="1:6" ht="12">
      <c r="A28" s="9"/>
      <c r="B28" s="69"/>
      <c r="C28" s="68">
        <f>('TBLA Expense'!E57+'TBLA Expense'!L57)/2</f>
        <v>0</v>
      </c>
      <c r="D28" s="69">
        <f>B28*C28</f>
        <v>0</v>
      </c>
      <c r="E28" s="69">
        <f t="shared" si="0"/>
        <v>0</v>
      </c>
      <c r="F28" s="70">
        <f t="shared" si="5"/>
        <v>0</v>
      </c>
    </row>
    <row r="29" spans="1:6" ht="12">
      <c r="A29" s="9"/>
      <c r="B29" s="69"/>
      <c r="C29" s="68">
        <f>('TBLA Expense'!E58+'TBLA Expense'!L58)/2</f>
        <v>0</v>
      </c>
      <c r="D29" s="69">
        <f>B29*C29</f>
        <v>0</v>
      </c>
      <c r="E29" s="69">
        <f t="shared" si="0"/>
        <v>0</v>
      </c>
      <c r="F29" s="70">
        <f t="shared" si="5"/>
        <v>0</v>
      </c>
    </row>
    <row r="30" spans="1:6" ht="12">
      <c r="A30" s="9"/>
      <c r="B30" s="69"/>
      <c r="C30" s="68"/>
      <c r="D30" s="69">
        <f aca="true" t="shared" si="6" ref="D30:D46">B30*C30</f>
        <v>0</v>
      </c>
      <c r="E30" s="69">
        <f t="shared" si="0"/>
        <v>0</v>
      </c>
      <c r="F30" s="70">
        <f t="shared" si="3"/>
        <v>0</v>
      </c>
    </row>
    <row r="31" spans="1:6" ht="12">
      <c r="A31" s="9"/>
      <c r="B31" s="69"/>
      <c r="C31" s="68"/>
      <c r="D31" s="69">
        <f t="shared" si="6"/>
        <v>0</v>
      </c>
      <c r="E31" s="69">
        <f t="shared" si="0"/>
        <v>0</v>
      </c>
      <c r="F31" s="70">
        <f t="shared" si="3"/>
        <v>0</v>
      </c>
    </row>
    <row r="32" spans="1:6" ht="12">
      <c r="A32" s="9"/>
      <c r="B32" s="69"/>
      <c r="C32" s="68"/>
      <c r="D32" s="69">
        <f t="shared" si="6"/>
        <v>0</v>
      </c>
      <c r="E32" s="69">
        <f t="shared" si="0"/>
        <v>0</v>
      </c>
      <c r="F32" s="70">
        <f t="shared" si="3"/>
        <v>0</v>
      </c>
    </row>
    <row r="33" spans="1:6" ht="12">
      <c r="A33" s="55"/>
      <c r="B33" s="55"/>
      <c r="C33" s="97"/>
      <c r="D33" s="69">
        <f t="shared" si="6"/>
        <v>0</v>
      </c>
      <c r="E33" s="69">
        <f t="shared" si="0"/>
        <v>0</v>
      </c>
      <c r="F33" s="70">
        <f t="shared" si="3"/>
        <v>0</v>
      </c>
    </row>
    <row r="34" spans="1:6" ht="12">
      <c r="A34" s="55"/>
      <c r="B34" s="55"/>
      <c r="C34" s="97"/>
      <c r="D34" s="69">
        <f t="shared" si="6"/>
        <v>0</v>
      </c>
      <c r="E34" s="69">
        <f t="shared" si="0"/>
        <v>0</v>
      </c>
      <c r="F34" s="70">
        <f t="shared" si="3"/>
        <v>0</v>
      </c>
    </row>
    <row r="35" spans="1:6" ht="12">
      <c r="A35" s="55"/>
      <c r="B35" s="55"/>
      <c r="C35" s="97"/>
      <c r="D35" s="69">
        <f t="shared" si="6"/>
        <v>0</v>
      </c>
      <c r="E35" s="69">
        <f t="shared" si="0"/>
        <v>0</v>
      </c>
      <c r="F35" s="70">
        <f t="shared" si="3"/>
        <v>0</v>
      </c>
    </row>
    <row r="36" spans="1:6" ht="12">
      <c r="A36" s="55"/>
      <c r="B36" s="55"/>
      <c r="C36" s="97"/>
      <c r="D36" s="69">
        <f t="shared" si="6"/>
        <v>0</v>
      </c>
      <c r="E36" s="69">
        <f t="shared" si="0"/>
        <v>0</v>
      </c>
      <c r="F36" s="70">
        <f t="shared" si="3"/>
        <v>0</v>
      </c>
    </row>
    <row r="37" spans="1:6" ht="12">
      <c r="A37" s="55"/>
      <c r="B37" s="55"/>
      <c r="C37" s="97"/>
      <c r="D37" s="69">
        <f t="shared" si="6"/>
        <v>0</v>
      </c>
      <c r="E37" s="69">
        <f t="shared" si="0"/>
        <v>0</v>
      </c>
      <c r="F37" s="70">
        <f t="shared" si="3"/>
        <v>0</v>
      </c>
    </row>
    <row r="38" spans="1:6" ht="12">
      <c r="A38" s="55"/>
      <c r="B38" s="55"/>
      <c r="C38" s="97"/>
      <c r="D38" s="69">
        <f t="shared" si="6"/>
        <v>0</v>
      </c>
      <c r="E38" s="69">
        <f t="shared" si="0"/>
        <v>0</v>
      </c>
      <c r="F38" s="70">
        <f t="shared" si="3"/>
        <v>0</v>
      </c>
    </row>
    <row r="39" spans="1:6" ht="12">
      <c r="A39" s="55"/>
      <c r="B39" s="55"/>
      <c r="C39" s="97"/>
      <c r="D39" s="69">
        <f t="shared" si="6"/>
        <v>0</v>
      </c>
      <c r="E39" s="69">
        <f t="shared" si="0"/>
        <v>0</v>
      </c>
      <c r="F39" s="70">
        <f t="shared" si="3"/>
        <v>0</v>
      </c>
    </row>
    <row r="40" spans="1:6" ht="12">
      <c r="A40" s="55"/>
      <c r="B40" s="55"/>
      <c r="C40" s="97"/>
      <c r="D40" s="69">
        <f t="shared" si="6"/>
        <v>0</v>
      </c>
      <c r="E40" s="69">
        <f t="shared" si="0"/>
        <v>0</v>
      </c>
      <c r="F40" s="70">
        <f t="shared" si="3"/>
        <v>0</v>
      </c>
    </row>
    <row r="41" spans="1:6" ht="12">
      <c r="A41" s="55"/>
      <c r="B41" s="55"/>
      <c r="C41" s="97"/>
      <c r="D41" s="69">
        <f t="shared" si="6"/>
        <v>0</v>
      </c>
      <c r="E41" s="69">
        <f t="shared" si="0"/>
        <v>0</v>
      </c>
      <c r="F41" s="70">
        <f t="shared" si="3"/>
        <v>0</v>
      </c>
    </row>
    <row r="42" spans="1:6" ht="12">
      <c r="A42" s="100"/>
      <c r="B42" s="100"/>
      <c r="C42" s="101"/>
      <c r="D42" s="69">
        <f t="shared" si="6"/>
        <v>0</v>
      </c>
      <c r="E42" s="69">
        <f t="shared" si="0"/>
        <v>0</v>
      </c>
      <c r="F42" s="70">
        <f t="shared" si="3"/>
        <v>0</v>
      </c>
    </row>
    <row r="43" spans="1:6" ht="12">
      <c r="A43" s="100"/>
      <c r="B43" s="100"/>
      <c r="C43" s="101"/>
      <c r="D43" s="69">
        <f t="shared" si="6"/>
        <v>0</v>
      </c>
      <c r="E43" s="69">
        <f t="shared" si="0"/>
        <v>0</v>
      </c>
      <c r="F43" s="70">
        <f t="shared" si="3"/>
        <v>0</v>
      </c>
    </row>
    <row r="44" spans="1:6" ht="12">
      <c r="A44" s="100"/>
      <c r="B44" s="100"/>
      <c r="C44" s="101"/>
      <c r="D44" s="69">
        <f t="shared" si="6"/>
        <v>0</v>
      </c>
      <c r="E44" s="69">
        <f t="shared" si="0"/>
        <v>0</v>
      </c>
      <c r="F44" s="70">
        <f t="shared" si="3"/>
        <v>0</v>
      </c>
    </row>
    <row r="45" spans="1:6" ht="12">
      <c r="A45" s="100"/>
      <c r="B45" s="100"/>
      <c r="C45" s="101"/>
      <c r="D45" s="69">
        <f t="shared" si="6"/>
        <v>0</v>
      </c>
      <c r="E45" s="69">
        <f t="shared" si="0"/>
        <v>0</v>
      </c>
      <c r="F45" s="70">
        <f t="shared" si="3"/>
        <v>0</v>
      </c>
    </row>
    <row r="46" spans="1:6" ht="12.75" thickBot="1">
      <c r="A46" s="100"/>
      <c r="B46" s="100"/>
      <c r="C46" s="101"/>
      <c r="D46" s="69">
        <f t="shared" si="6"/>
        <v>0</v>
      </c>
      <c r="E46" s="69">
        <f t="shared" si="0"/>
        <v>0</v>
      </c>
      <c r="F46" s="70">
        <f t="shared" si="3"/>
        <v>0</v>
      </c>
    </row>
    <row r="47" spans="1:6" ht="12.75" thickBot="1">
      <c r="A47" s="8" t="s">
        <v>40</v>
      </c>
      <c r="B47" s="274">
        <f>SUM(B7:B46)</f>
        <v>162.23484268584522</v>
      </c>
      <c r="C47" s="103"/>
      <c r="D47" s="104">
        <f>SUM(D7:D46)</f>
        <v>6032503.704474886</v>
      </c>
      <c r="E47" s="104">
        <f>SUM(E7:E46)</f>
        <v>1689101.0372529689</v>
      </c>
      <c r="F47" s="105">
        <f>SUM(F7:F46)</f>
        <v>7721604.741727856</v>
      </c>
    </row>
    <row r="48" ht="12">
      <c r="D48" s="249">
        <f>D47-'Combined '!E36</f>
        <v>0</v>
      </c>
    </row>
    <row r="60" spans="6:29" ht="12">
      <c r="F60" s="48"/>
      <c r="G60" s="48"/>
      <c r="H60" s="48"/>
      <c r="I60" s="48"/>
      <c r="J60" s="48"/>
      <c r="K60" s="48"/>
      <c r="L60" s="48"/>
      <c r="M60" s="48"/>
      <c r="N60" s="48"/>
      <c r="O60" s="48"/>
      <c r="P60" s="48"/>
      <c r="Q60" s="48"/>
      <c r="R60" s="48"/>
      <c r="S60" s="48"/>
      <c r="T60" s="48"/>
      <c r="U60" s="48"/>
      <c r="V60" s="48"/>
      <c r="W60" s="48"/>
      <c r="X60" s="48"/>
      <c r="Y60" s="48"/>
      <c r="Z60" s="48"/>
      <c r="AA60" s="48"/>
      <c r="AB60" s="48"/>
      <c r="AC60" s="48"/>
    </row>
  </sheetData>
  <sheetProtection/>
  <mergeCells count="4">
    <mergeCell ref="A1:F1"/>
    <mergeCell ref="A2:F2"/>
    <mergeCell ref="A4:F4"/>
    <mergeCell ref="A5:F5"/>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DPS</dc:creator>
  <cp:keywords/>
  <dc:description/>
  <cp:lastModifiedBy>Johnny</cp:lastModifiedBy>
  <cp:lastPrinted>2015-05-15T15:00:03Z</cp:lastPrinted>
  <dcterms:created xsi:type="dcterms:W3CDTF">2009-06-30T21:24:16Z</dcterms:created>
  <dcterms:modified xsi:type="dcterms:W3CDTF">2016-03-22T20:38:25Z</dcterms:modified>
  <cp:category/>
  <cp:version/>
  <cp:contentType/>
  <cp:contentStatus/>
</cp:coreProperties>
</file>