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275" tabRatio="911" activeTab="0"/>
  </bookViews>
  <sheets>
    <sheet name="1. Instructions" sheetId="1" r:id="rId1"/>
    <sheet name="2. Enrollment Projections" sheetId="2" r:id="rId2"/>
    <sheet name="3. Staffing Plan" sheetId="3" r:id="rId3"/>
    <sheet name="5. 5-Year Budget" sheetId="4" r:id="rId4"/>
    <sheet name="CONTROL" sheetId="5" state="veryHidden" r:id="rId5"/>
  </sheets>
  <definedNames>
    <definedName name="_xlfn.F.DIST" hidden="1">#NAME?</definedName>
    <definedName name="_xlfn.IFERROR" hidden="1">#NAME?</definedName>
    <definedName name="CorpList">'CONTROL'!$C$18:$C$307</definedName>
    <definedName name="_xlnm.Print_Area" localSheetId="3">'5. 5-Year Budget'!$K$2:$L$137</definedName>
    <definedName name="Schools">'CONTROL'!$C$17:$D$307</definedName>
  </definedNames>
  <calcPr fullCalcOnLoad="1"/>
</workbook>
</file>

<file path=xl/comments5.xml><?xml version="1.0" encoding="utf-8"?>
<comments xmlns="http://schemas.openxmlformats.org/spreadsheetml/2006/main">
  <authors>
    <author>flackjo</author>
  </authors>
  <commentList>
    <comment ref="D17" authorId="0">
      <text>
        <r>
          <rPr>
            <sz val="9"/>
            <rFont val="Tahoma"/>
            <family val="2"/>
          </rPr>
          <t>2009 = 2009-10</t>
        </r>
      </text>
    </comment>
  </commentList>
</comments>
</file>

<file path=xl/sharedStrings.xml><?xml version="1.0" encoding="utf-8"?>
<sst xmlns="http://schemas.openxmlformats.org/spreadsheetml/2006/main" count="710" uniqueCount="609">
  <si>
    <t>Title I</t>
  </si>
  <si>
    <t>Title II</t>
  </si>
  <si>
    <t xml:space="preserve"> </t>
  </si>
  <si>
    <t>Textbooks</t>
  </si>
  <si>
    <t>Legal Services</t>
  </si>
  <si>
    <t>Payroll Services</t>
  </si>
  <si>
    <t>Travel</t>
  </si>
  <si>
    <t>Other Revenues</t>
  </si>
  <si>
    <t xml:space="preserve">Support Supplies and Resources </t>
  </si>
  <si>
    <t>Year 0</t>
  </si>
  <si>
    <t>Professional Development</t>
  </si>
  <si>
    <t>Federal Lunch Program</t>
  </si>
  <si>
    <t>Federal Breakfast Reimbursement</t>
  </si>
  <si>
    <t>State Matching Funds for School Lunch Program</t>
  </si>
  <si>
    <t>Textbook Reimbursement</t>
  </si>
  <si>
    <t>Summer School</t>
  </si>
  <si>
    <t>Interest Income</t>
  </si>
  <si>
    <t>Formative Assessment Grant</t>
  </si>
  <si>
    <t>Special Education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</si>
  <si>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</si>
  <si>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</si>
  <si>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</si>
  <si>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</si>
  <si>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</si>
  <si>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</si>
  <si>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</si>
  <si>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</si>
  <si>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</si>
  <si>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</si>
  <si>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</si>
  <si>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Librarian</t>
  </si>
  <si>
    <t>Athletic Coaches</t>
  </si>
  <si>
    <t>Total Non-Instructional/Support Staff:</t>
  </si>
  <si>
    <t>Subtotal Wages and Salaries:</t>
  </si>
  <si>
    <t>Total Payroll Taxes and Benefits:</t>
  </si>
  <si>
    <t>Total Personnel Expenses:</t>
  </si>
  <si>
    <t>Student Assessment</t>
  </si>
  <si>
    <t>Instructional Software</t>
  </si>
  <si>
    <t>Total Instructional Supplies and Resources:</t>
  </si>
  <si>
    <t>Total Support Supplies and Resources:</t>
  </si>
  <si>
    <t>Governing Board Expenses</t>
  </si>
  <si>
    <t>Total Board Expenses:</t>
  </si>
  <si>
    <t>Audit Services</t>
  </si>
  <si>
    <t>Financial Accounting</t>
  </si>
  <si>
    <t>Printing, Publishing, Duplicating Services</t>
  </si>
  <si>
    <t>Special Education Administration</t>
  </si>
  <si>
    <t>Food Services</t>
  </si>
  <si>
    <t>Total Facilities Expenses:</t>
  </si>
  <si>
    <t>Bank Fees</t>
  </si>
  <si>
    <t>Total Other Expenses:</t>
  </si>
  <si>
    <t>TOTAL EXPENSES:</t>
  </si>
  <si>
    <t>Footnotes:</t>
  </si>
  <si>
    <t>INSTRUCTIONAL STAFF</t>
  </si>
  <si>
    <t>ADMIN &amp; SUPPORT</t>
  </si>
  <si>
    <t>Total Staff</t>
  </si>
  <si>
    <t>Student/teacher ratio</t>
  </si>
  <si>
    <t>Student/staff ratio</t>
  </si>
  <si>
    <t>Assumptions</t>
  </si>
  <si>
    <t>1. Instructions</t>
  </si>
  <si>
    <t>2. Enrollment Projection</t>
  </si>
  <si>
    <t>3. Staffing Plan</t>
  </si>
  <si>
    <t>School Name:</t>
  </si>
  <si>
    <t>Kindergarten</t>
  </si>
  <si>
    <t>Grade 1</t>
  </si>
  <si>
    <t>Grade 2</t>
  </si>
  <si>
    <t>Grade 3</t>
  </si>
  <si>
    <t>Grade 4</t>
  </si>
  <si>
    <t>Grade 5</t>
  </si>
  <si>
    <t>Grade 6</t>
  </si>
  <si>
    <t>Grade 7</t>
  </si>
  <si>
    <t>Grade 8</t>
  </si>
  <si>
    <t>Grade 9</t>
  </si>
  <si>
    <t>Grade 10</t>
  </si>
  <si>
    <t>Grade 11</t>
  </si>
  <si>
    <t>Grade 12</t>
  </si>
  <si>
    <t>Adult</t>
  </si>
  <si>
    <t>Name of Proposed Charter School:</t>
  </si>
  <si>
    <t>Position (specify)</t>
  </si>
  <si>
    <t>Number</t>
  </si>
  <si>
    <t>Average Salary</t>
  </si>
  <si>
    <t>Total Expense</t>
  </si>
  <si>
    <t>Medicare</t>
  </si>
  <si>
    <t>Unemployment</t>
  </si>
  <si>
    <t>Enrollment</t>
  </si>
  <si>
    <t>Special Education #</t>
  </si>
  <si>
    <t>English Learners #</t>
  </si>
  <si>
    <t>BENEFITS</t>
  </si>
  <si>
    <t>Rate/Per Employee Expense</t>
  </si>
  <si>
    <t>Total Admin &amp; Support Staff:</t>
  </si>
  <si>
    <t>SUMMARY</t>
  </si>
  <si>
    <t>Total Salaries:</t>
  </si>
  <si>
    <t>Total Salaries + Benefits:</t>
  </si>
  <si>
    <t>Other Expenses - See Footnotes</t>
  </si>
  <si>
    <t>Instructional Supplies and Resources - See Footnotes</t>
  </si>
  <si>
    <t>Special Instructions for Schools Contracting with a Management Company:</t>
  </si>
  <si>
    <t>= Information should be entered into light gray shaded cells.</t>
  </si>
  <si>
    <t>Adult Grant:</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</si>
  <si>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</si>
  <si>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</si>
  <si>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</si>
  <si>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</si>
  <si>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</si>
  <si>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</si>
  <si>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</si>
  <si>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</si>
  <si>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</si>
  <si>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</si>
  <si>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</si>
  <si>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</si>
  <si>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</si>
  <si>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</si>
  <si>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</si>
  <si>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</si>
  <si>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</si>
  <si>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</si>
  <si>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</si>
  <si>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</si>
  <si>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</si>
  <si>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</si>
  <si>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</si>
  <si>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</si>
  <si>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</si>
  <si>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</si>
  <si>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</si>
  <si>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</si>
  <si>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</si>
  <si>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</si>
  <si>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</si>
  <si>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</si>
  <si>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</si>
  <si>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</si>
  <si>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</si>
  <si>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</si>
  <si>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</si>
  <si>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</si>
  <si>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</si>
  <si>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</si>
  <si>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</si>
  <si>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</si>
  <si>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</si>
  <si>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</si>
  <si>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</si>
  <si>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</si>
  <si>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</si>
  <si>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</si>
  <si>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</si>
  <si>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</si>
  <si>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</si>
  <si>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</si>
  <si>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</si>
  <si>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</si>
  <si>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</si>
  <si>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</si>
  <si>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</si>
  <si>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</si>
  <si>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</si>
  <si>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</si>
  <si>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</si>
  <si>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</si>
  <si>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</si>
  <si>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</si>
  <si>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</si>
  <si>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</si>
  <si>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</si>
  <si>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</si>
  <si>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</si>
  <si>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</si>
  <si>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</si>
  <si>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</si>
  <si>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</si>
  <si>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</si>
  <si>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</si>
  <si>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</si>
  <si>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</si>
  <si>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</si>
  <si>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</si>
  <si>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</si>
  <si>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</si>
  <si>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</si>
  <si>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</si>
  <si>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</si>
  <si>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</si>
  <si>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</si>
  <si>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</si>
  <si>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</si>
  <si>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</si>
  <si>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</si>
  <si>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</si>
  <si>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</si>
  <si>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</si>
  <si>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</si>
  <si>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</si>
  <si>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</si>
  <si>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</si>
  <si>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</si>
  <si>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</si>
  <si>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</si>
  <si>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</si>
  <si>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</si>
  <si>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</si>
  <si>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</si>
  <si>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</si>
  <si>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</si>
  <si>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</si>
  <si>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</si>
  <si>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</si>
  <si>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</si>
  <si>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</si>
  <si>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</si>
  <si>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</si>
  <si>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</si>
  <si>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</si>
  <si>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</si>
  <si>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</si>
  <si>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</si>
  <si>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</si>
  <si>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</si>
  <si>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</si>
  <si>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</si>
  <si>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</si>
  <si>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</si>
  <si>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</si>
  <si>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</si>
  <si>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</si>
  <si>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</si>
  <si>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</si>
  <si>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</si>
  <si>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</si>
  <si>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</si>
  <si>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</si>
  <si>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</si>
  <si>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</si>
  <si>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</si>
  <si>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</si>
  <si>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</si>
  <si>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</si>
  <si>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</si>
  <si>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</si>
  <si>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</si>
  <si>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</si>
  <si>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</si>
  <si>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</si>
  <si>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</si>
  <si>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</si>
  <si>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</si>
  <si>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</si>
  <si>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</si>
  <si>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</si>
  <si>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</si>
  <si>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</si>
  <si>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</si>
  <si>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</si>
  <si>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</si>
  <si>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</si>
  <si>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</si>
  <si>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</si>
  <si>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</si>
  <si>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</si>
  <si>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</si>
  <si>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</si>
  <si>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</si>
  <si>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</si>
  <si>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</si>
  <si>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</si>
  <si>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</si>
  <si>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</si>
  <si>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</si>
  <si>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</si>
  <si>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</si>
  <si>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</si>
  <si>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</si>
  <si>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</si>
  <si>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</si>
  <si>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</si>
  <si>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</si>
  <si>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</si>
  <si>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</si>
  <si>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</si>
  <si>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</si>
  <si>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</si>
  <si>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</si>
  <si>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</si>
  <si>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</si>
  <si>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</si>
  <si>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</si>
  <si>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</si>
  <si>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</si>
  <si>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</si>
  <si>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</si>
  <si>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</si>
  <si>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</si>
  <si>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</si>
  <si>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</si>
  <si>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</si>
  <si>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</si>
  <si>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</si>
  <si>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</si>
  <si>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</si>
  <si>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</si>
  <si>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</si>
  <si>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</si>
  <si>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</si>
  <si>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</si>
  <si>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</si>
  <si>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</si>
  <si>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</si>
  <si>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</si>
  <si>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</si>
  <si>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</si>
  <si>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</si>
  <si>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</si>
  <si>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</si>
  <si>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</si>
  <si>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</si>
  <si>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</si>
  <si>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</si>
  <si>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</si>
  <si>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</si>
  <si>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</si>
  <si>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</si>
  <si>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</si>
  <si>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</si>
  <si>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</si>
  <si>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</si>
  <si>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</si>
  <si>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</si>
  <si>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</si>
  <si>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</si>
  <si>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</si>
  <si>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</si>
  <si>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</si>
  <si>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</si>
  <si>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</si>
  <si>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</si>
  <si>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</si>
  <si>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</si>
  <si>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</si>
  <si>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</si>
  <si>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</si>
  <si>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</si>
  <si>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</si>
  <si>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</si>
  <si>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</si>
  <si>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</si>
  <si>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</si>
  <si>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</si>
  <si>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</si>
  <si>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</si>
  <si>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</si>
  <si>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</si>
  <si>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</si>
  <si>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</si>
  <si>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</si>
  <si>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</si>
  <si>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</si>
  <si>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</si>
  <si>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</si>
  <si>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</si>
  <si>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</si>
  <si>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</si>
  <si>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</si>
  <si>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</si>
  <si>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</si>
  <si>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</si>
  <si>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</si>
  <si>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</si>
  <si>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</si>
  <si>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</si>
  <si>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</si>
  <si>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</si>
  <si>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</si>
  <si>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</si>
  <si>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</si>
  <si>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</si>
  <si>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</si>
  <si>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</si>
  <si>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</si>
  <si>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</si>
  <si>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</si>
  <si>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</si>
  <si>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</si>
  <si>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</si>
  <si>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</si>
  <si>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</si>
  <si>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</si>
  <si>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</si>
  <si>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</si>
  <si>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</si>
  <si>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</si>
  <si>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</si>
  <si>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</si>
  <si>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</si>
  <si>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</si>
  <si>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</si>
  <si>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</si>
  <si>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FRL #</t>
  </si>
  <si>
    <t>FY 2020</t>
  </si>
  <si>
    <t>FY 2021</t>
  </si>
  <si>
    <t>FY 20 Index</t>
  </si>
  <si>
    <t>FY 21 Index</t>
  </si>
  <si>
    <t>Lewis Cass School Corp</t>
  </si>
  <si>
    <t>Yorktown Community Schools</t>
  </si>
  <si>
    <t>FY 20 $/ADM</t>
  </si>
  <si>
    <t>FY 21 $/ADM</t>
  </si>
  <si>
    <t>Average Salary (1)</t>
  </si>
  <si>
    <r>
      <t xml:space="preserve">•  Complete all relevant Grey Shaded areas -&gt; Name of Position, Number of Positions, Average Salary, Health Insurance, Retirement Contribution, and Other Benefits. </t>
    </r>
  </si>
  <si>
    <t>•  Please see footnotes below for additional information.</t>
  </si>
  <si>
    <t>Other Compensation (3)</t>
  </si>
  <si>
    <t>Social Security (3)</t>
  </si>
  <si>
    <t>Health Insurance (2)</t>
  </si>
  <si>
    <t>Retirement Contributions</t>
  </si>
  <si>
    <t>K-12 Distribution</t>
  </si>
  <si>
    <t>Adult Distribution</t>
  </si>
  <si>
    <t>Total Distribution</t>
  </si>
  <si>
    <t>The information provided below does not, and is not intended to, constitute legal advice. Schools should consult with an attorney/accountant for any questions about employment matters.</t>
  </si>
  <si>
    <t>Health Insurance</t>
  </si>
  <si>
    <t>Other Compensation</t>
  </si>
  <si>
    <t>Social Security/Medicare/Unemployment</t>
  </si>
  <si>
    <t>Charter and Innovation Network School Grant (1)</t>
  </si>
  <si>
    <t>Payroll Taxes and Benefits - From Tab 3</t>
  </si>
  <si>
    <t>Total Adult Enrollment:</t>
  </si>
  <si>
    <t>Total K-12 Enrollment:</t>
  </si>
  <si>
    <t>4. 5-Year Budget</t>
  </si>
  <si>
    <t>Renewal Year:</t>
  </si>
  <si>
    <t>(must align with Renewal Application Enrollment Plan)</t>
  </si>
  <si>
    <t>•  Projected salary and benefits must align with 5-Year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</si>
  <si>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</si>
  <si>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ALL GRANTS/INDEXES MUST BE ADJUSTED UPON PASSAGE OF NEW BIENNIAL BUDGET.</t>
  </si>
  <si>
    <t>Grants</t>
  </si>
  <si>
    <t>Foundation Amount:</t>
  </si>
  <si>
    <t>Complexity Multiplier:</t>
  </si>
  <si>
    <t>ELL Adjustment:</t>
  </si>
  <si>
    <t xml:space="preserve">     (not currently calculated - See IC 20-43-6-3(b) STEP 4)</t>
  </si>
  <si>
    <t>Sped Grant (mild/mod):</t>
  </si>
  <si>
    <t xml:space="preserve">     (not calculated for severe disabilities - See IC 20-43-7-6)</t>
  </si>
  <si>
    <t>$/ADM = "Foundation Amount" + ("Complexity Multiplier" * "Complexity Index")</t>
  </si>
  <si>
    <t>REQUIRED</t>
  </si>
  <si>
    <t>Location:</t>
  </si>
  <si>
    <t>Adjusted Distribution</t>
  </si>
  <si>
    <t>Certified Elementary Teachers</t>
  </si>
  <si>
    <t>Certified MS Teachers</t>
  </si>
  <si>
    <t>Certified HS Teachers</t>
  </si>
  <si>
    <t>Elementary Co Teachers</t>
  </si>
  <si>
    <t>MS/HS Co Teachers</t>
  </si>
  <si>
    <t>Elementary Special Education Paraprofessional</t>
  </si>
  <si>
    <t>MS/HS Special Education Paraprofessional</t>
  </si>
  <si>
    <t>Executive Director</t>
  </si>
  <si>
    <t xml:space="preserve">Principal </t>
  </si>
  <si>
    <t>Director of Finance</t>
  </si>
  <si>
    <t>Operations Manager</t>
  </si>
  <si>
    <t>Director of School Culture</t>
  </si>
  <si>
    <t>Directors of Special Education/Instruction</t>
  </si>
  <si>
    <t>Culture Team and Counselors</t>
  </si>
  <si>
    <t>Administrative Assistants</t>
  </si>
  <si>
    <t>Custodial</t>
  </si>
  <si>
    <t>School Resource Officers</t>
  </si>
  <si>
    <t>Food Service</t>
  </si>
  <si>
    <t>College and Career Coordinator</t>
  </si>
  <si>
    <t>Nurse</t>
  </si>
  <si>
    <t>High Ability - Used average of FY19-FY21</t>
  </si>
  <si>
    <t xml:space="preserve"> $ -   </t>
  </si>
  <si>
    <t>Used $500 per student (conservative from $750)</t>
  </si>
  <si>
    <t>% projected FRL direct certified; no assumed fee from students</t>
  </si>
  <si>
    <t>$12.23 per K-10 student</t>
  </si>
  <si>
    <t>Used $ per Special Education student for FY21; forecasted w/15% SPED</t>
  </si>
  <si>
    <t>Used average FY19-FY21</t>
  </si>
  <si>
    <t>B &amp; L increase with students</t>
  </si>
  <si>
    <t>2.5% salary increase each year</t>
  </si>
  <si>
    <t>Equal to Textbooks revenue stream; could be supplemented with instructional supplies line below</t>
  </si>
  <si>
    <t>Increase with number of students</t>
  </si>
  <si>
    <t>5% increase each year</t>
  </si>
  <si>
    <t>LOWS</t>
  </si>
  <si>
    <t>2% increase</t>
  </si>
  <si>
    <t>5% increase</t>
  </si>
  <si>
    <t>SPED Contracted Related Services</t>
  </si>
  <si>
    <t>Powerschool &amp; Enrollment Express</t>
  </si>
  <si>
    <t>2% increase plus increase in students</t>
  </si>
  <si>
    <t xml:space="preserve">Alarm system </t>
  </si>
  <si>
    <t>20:1 student teacher ratio for instructional staff, 2.5% salary increase each year</t>
  </si>
  <si>
    <t xml:space="preserve">Based upon FY20 through 2/28 $277k at 85% ridership; extrapolated is approx $400k which means approximately $1,041 per student bus ridership.  With revised transportation strategy assuming 50% ridership of students going forward </t>
  </si>
  <si>
    <t>Instructions for Renewal Budget Workbook</t>
  </si>
  <si>
    <t>REQUIRED (Use Pull Down List)</t>
  </si>
  <si>
    <t>First Year of New Charter (Renewal Year):</t>
  </si>
  <si>
    <t>• All organizers submitting a renewal application to the Indiana Charter School Board must complete Sheets 1 through 4 of the 5-Year Budget Template. All data should be entered into GREY cells.</t>
  </si>
  <si>
    <t>Version 10.20.20</t>
  </si>
  <si>
    <t>Steel City Academy</t>
  </si>
  <si>
    <t>5-Year School Enrollment Projections</t>
  </si>
  <si>
    <t>Year 6</t>
  </si>
  <si>
    <t>Year 7</t>
  </si>
  <si>
    <t>Year 8</t>
  </si>
  <si>
    <t>Year 9</t>
  </si>
  <si>
    <t>Year 10</t>
  </si>
  <si>
    <t>Notice Related to the Effect of the COVID-19 Pandemic</t>
  </si>
  <si>
    <r>
      <t>How "Total Distribution" is Calculated</t>
    </r>
    <r>
      <rPr>
        <sz val="10"/>
        <color indexed="8"/>
        <rFont val="Calibri"/>
        <family val="2"/>
      </rPr>
      <t>:
Basic Tuition Support (for schools with non-virtual students) is generally equal to:
     (</t>
    </r>
    <r>
      <rPr>
        <u val="single"/>
        <sz val="10"/>
        <color indexed="8"/>
        <rFont val="Calibri"/>
        <family val="2"/>
      </rPr>
      <t>Foundation Amount</t>
    </r>
    <r>
      <rPr>
        <sz val="10"/>
        <color indexed="8"/>
        <rFont val="Calibri"/>
        <family val="2"/>
      </rPr>
      <t xml:space="preserve"> X </t>
    </r>
    <r>
      <rPr>
        <u val="single"/>
        <sz val="10"/>
        <color indexed="8"/>
        <rFont val="Calibri"/>
        <family val="2"/>
      </rPr>
      <t>ADM</t>
    </r>
    <r>
      <rPr>
        <sz val="10"/>
        <color indexed="8"/>
        <rFont val="Calibri"/>
        <family val="2"/>
      </rPr>
      <t>) + ((</t>
    </r>
    <r>
      <rPr>
        <u val="single"/>
        <sz val="10"/>
        <color indexed="8"/>
        <rFont val="Calibri"/>
        <family val="2"/>
      </rPr>
      <t>Complexity Multiplier</t>
    </r>
    <r>
      <rPr>
        <sz val="10"/>
        <color indexed="8"/>
        <rFont val="Calibri"/>
        <family val="2"/>
      </rPr>
      <t xml:space="preserve">  X </t>
    </r>
    <r>
      <rPr>
        <u val="single"/>
        <sz val="10"/>
        <color indexed="8"/>
        <rFont val="Calibri"/>
        <family val="2"/>
      </rPr>
      <t>Complexity Index</t>
    </r>
    <r>
      <rPr>
        <sz val="10"/>
        <color indexed="8"/>
        <rFont val="Calibri"/>
        <family val="2"/>
      </rPr>
      <t xml:space="preserve">) X </t>
    </r>
    <r>
      <rPr>
        <u val="single"/>
        <sz val="10"/>
        <color indexed="8"/>
        <rFont val="Calibri"/>
        <family val="2"/>
      </rPr>
      <t>ADM)</t>
    </r>
    <r>
      <rPr>
        <sz val="10"/>
        <color indexed="8"/>
        <rFont val="Calibri"/>
        <family val="2"/>
      </rPr>
      <t xml:space="preserve">
 The Complexity calculation provides additional funding to school corporations serving proportionally more students from low-income families. It is based on the percentage of a school corporation's students receiving SNAP, TANF, or foster care services. For the sake of simplicity, the above calculation uses the Complexity Index for the school corporation in which the proposed charter school is located; however, as the Complexity Index is calculated based on the percentage of the specific charter school's students, the charter school's actual Complexity amount may differ. The total distribution (as adjusted) is carried over to Tab 4, Line 1 - Basic Tuition Support.
Total "State" tuition support includes "basic tuition support" plus any other "categorical" grants for which a school may be eligible (e.g., honors designation awards; special education grants; CTE grants). Average Daily Membership (ADM) is determined on two count dates (in September and February). For ADM purposes, full day Kindergarten students are counted as 1.0, half-day kindergarten students are counted as 0.5.
The FY 2021 foundation amount is $5,703. The FY 2021 complexity multiplier is $3,675. The FY 2021 Adult Grant amount for adult high schools is $6,750.</t>
    </r>
  </si>
  <si>
    <t>Current Year</t>
  </si>
  <si>
    <t>5-Year Projected School Staffing Plan</t>
  </si>
  <si>
    <t>Please include a note in the assumptions column and budget narrative if any line item includes additional service, consulting, facility, or licensing fees paid to a management company or affiliate of a management company that are not included in Line 97 (Education Service Provider Management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</si>
  <si>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5-Year Projected Annual Operating Budget -- Fiscal Year July 1-June 30</t>
  </si>
  <si>
    <t>The "Adjusted Distribution" calculation from Tab 2 for Years 6 - 10.</t>
  </si>
  <si>
    <t>Basic Tuition Support (includes Complexity)- From Tab 2</t>
  </si>
  <si>
    <t>High Ability (Gifted and Talented) Program</t>
  </si>
  <si>
    <t>Remediation Program Grant</t>
  </si>
  <si>
    <t>CTE Grant</t>
  </si>
  <si>
    <t>Teacher Appreciation Grant</t>
  </si>
  <si>
    <t>Honors Diploma Grant</t>
  </si>
  <si>
    <t>Other State Grants (please describe) (2)</t>
  </si>
  <si>
    <t>Public Charter School Program Grant (3)</t>
  </si>
  <si>
    <t>Other Federal Revenue (please describe)</t>
  </si>
  <si>
    <t>Charter Facilities Assistance Program Grant (2011)</t>
  </si>
  <si>
    <t>Student Fees</t>
  </si>
  <si>
    <t>Administrative Staff - See Footnote (4)</t>
  </si>
  <si>
    <t>Executive Administration: Office of Superintendent</t>
  </si>
  <si>
    <t>School Administration: Office of the Principal</t>
  </si>
  <si>
    <t>Other School Administration (please describe)</t>
  </si>
  <si>
    <t>Teachers - Regular</t>
  </si>
  <si>
    <t>Instructional Staff</t>
  </si>
  <si>
    <t>Non-Instructional and Support Staff - See Footnotes</t>
  </si>
  <si>
    <t>Social Workers, Guidence Counselors, Therapists</t>
  </si>
  <si>
    <t>Instructional Support Staff (5)</t>
  </si>
  <si>
    <t>Other Support Staff (please describe) (6)</t>
  </si>
  <si>
    <t>Information Technology</t>
  </si>
  <si>
    <t>Maintenance of Buildings, Grounds, Equipment (include Custodial Staff)</t>
  </si>
  <si>
    <t>Security Personnel</t>
  </si>
  <si>
    <t>Library/Media Services (other than staff)</t>
  </si>
  <si>
    <t>Technology Supporting Instruction (including computers, tablets, etc.)</t>
  </si>
  <si>
    <t>Other Instructional Supplies (not including technology)</t>
  </si>
  <si>
    <t>Enrichment Programs (athletic or extra-curricular activities)</t>
  </si>
  <si>
    <t>Administrative Technology - Computers &amp; Software (not including SiS)</t>
  </si>
  <si>
    <t>Other Administrative Expenses (please describe)</t>
  </si>
  <si>
    <t>Other Governing Board Expenses (please describe)</t>
  </si>
  <si>
    <t>Professional or Contracted Services (do not include staff salaries)</t>
  </si>
  <si>
    <t>Telecommunication and IT Services</t>
  </si>
  <si>
    <t>Insurance (non-facility)</t>
  </si>
  <si>
    <t>Mail Services</t>
  </si>
  <si>
    <t>Student Information Services or Systems</t>
  </si>
  <si>
    <t>Transportation Services (please describe)</t>
  </si>
  <si>
    <t>Marketing Expenses</t>
  </si>
  <si>
    <t>Other Professional or Contracted Services (please describe)</t>
  </si>
  <si>
    <t>Total Professional or Contracted Services:</t>
  </si>
  <si>
    <t>Capital Improvements</t>
  </si>
  <si>
    <t>Principal Payments</t>
  </si>
  <si>
    <t>Operating Lease Payments</t>
  </si>
  <si>
    <t>Interest Payments</t>
  </si>
  <si>
    <t>Interest Expense</t>
  </si>
  <si>
    <t>Other Facility Expenses (please describe)</t>
  </si>
  <si>
    <t>ICSB Administrative Fee (7)</t>
  </si>
  <si>
    <t>Escrow (9)</t>
  </si>
  <si>
    <t>Other Expenses (please describe)</t>
  </si>
  <si>
    <t>CHANGE IN NET ASSETS:</t>
  </si>
  <si>
    <t>(1) Charter schools meeting certain criteria are entitled to $750 per student to be used for capital, technology, and transportation costs. Subsequent awards depend on continued funding of the grant in the biennial budget. See Indiana Code (IC) 20-24-13.</t>
  </si>
  <si>
    <t>(2)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</si>
  <si>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This is a competitive grant. Funding is not guaranteed. The funding for the PCSP grant is distributed through a reimbursement process. Contact IDOE's Office of Title Grants and Support for more information.</t>
  </si>
  <si>
    <t>(4)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</si>
  <si>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(5)  Includes Staffing for Instruction and Curriculum Development, Instructional Staff Training, etc.</t>
  </si>
  <si>
    <t>(6)  Secretary; Receptionist; Attendance Clerk; Office Manager, Cafeteria Worker, and other full or part-time employees not specifically described.</t>
  </si>
  <si>
    <t>(7)  One half percent (0.5%) of basic tuition support or adult learner grant amount received by the school.</t>
  </si>
  <si>
    <t>(9)  Schools are required to maintain an account in reserve to cover expenses for school closing.  $10,000 should be placed in reserve starting in year 2 with a balance of $30,000 by year 4.</t>
  </si>
  <si>
    <t xml:space="preserve">  - Select Sheet5(CONTROL).</t>
  </si>
  <si>
    <t>Total Taxes &amp; Benefits:</t>
  </si>
  <si>
    <r>
      <t xml:space="preserve">(1)  Amounts paid to "employees" regardless of whether they are full-time, part-time, or limited-time should be included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
    </r>
    <r>
      <rPr>
        <u val="single"/>
        <sz val="10"/>
        <color indexed="8"/>
        <rFont val="Calibri"/>
        <family val="2"/>
      </rPr>
      <t>taxable</t>
    </r>
    <r>
      <rPr>
        <sz val="10"/>
        <color indexed="8"/>
        <rFont val="Calibri"/>
        <family val="2"/>
      </rPr>
      <t xml:space="preserv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t>
    </r>
    <r>
      <rPr>
        <u val="single"/>
        <sz val="10"/>
        <color indexed="8"/>
        <rFont val="Calibri"/>
        <family val="2"/>
      </rPr>
      <t>Please note that the IRS generally considers an individual rendering services as a substitute teacher to be an employee and not an independent contractor</t>
    </r>
    <r>
      <rPr>
        <sz val="10"/>
        <color indexed="8"/>
        <rFont val="Calibri"/>
        <family val="2"/>
      </rPr>
      <t xml:space="preserve">.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to individuals who are considered employees. The Worksheet calculates these amounts automatically based on the information entered in the Average Salary column for each year.
(4)  Include all other compensation, including non-taxable benefits (e.g., educational assistance, dependent care assistance, transportation benefits, non-taxable fringe benefits, etc.). In addition,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</si>
  <si>
    <r>
      <t xml:space="preserve">The "Total Distribution" calculation is an </t>
    </r>
    <r>
      <rPr>
        <u val="single"/>
        <sz val="10"/>
        <color indexed="8"/>
        <rFont val="Calibri"/>
        <family val="2"/>
      </rPr>
      <t>estimate</t>
    </r>
    <r>
      <rPr>
        <sz val="10"/>
        <color indexed="8"/>
        <rFont val="Calibri"/>
        <family val="2"/>
      </rPr>
      <t xml:space="preserve"> based on the current 2019-21 State budget. Actual tuition support for Year 6 and beyond will not be known until the 2022-24 budget bill is enacted during the 2021 legislative session. The State of Indiana had a significant shortfall in revenue in FY 2020 and expects an even more significant shortfall in FY 2021 due to the COVID-19 pandemic. As a result, there is a possiblity that tuition support for 2021-22 (Year 6) and beyond may be lower than it was in 2020-21, and could remain static or low for some years. The "Adjusted Distribution" calculation is a new calculation that attempts to account for this possibility by reducing the total distribution for Year 6 by 5%, Years 7 &amp; 8 by 3%, and Years 9 &amp; 10 by 1%. No reduction is applied to the Current Year calculation. </t>
    </r>
    <r>
      <rPr>
        <b/>
        <sz val="10"/>
        <color indexed="8"/>
        <rFont val="Calibri"/>
        <family val="2"/>
      </rPr>
      <t>We strongly suggest that schools remain conservative in all budget projections for the next few years</t>
    </r>
    <r>
      <rPr>
        <sz val="10"/>
        <color indexed="8"/>
        <rFont val="Calibri"/>
        <family val="2"/>
      </rPr>
      <t>.</t>
    </r>
  </si>
  <si>
    <t>• Please complete the enrollment table for the school's current year, and provide enrollment projections for the next five (5) years beginning with the Renewal Year.</t>
  </si>
  <si>
    <t>• Please provide a list of administrative, instructional, and other staff along with estimates of proposed salaries and benefits for both the current year and the next five (5) years. Please include both full and part-time employees and contractors. Projected salary and benefits should align with the 5-Year budget.</t>
  </si>
  <si>
    <t>• Please provide the most recent version of the current years budget (as approved by the school's governing board) as well as budget projections for the next 5 years. Tab 5 will show "ERROR" if the information provided in Tab 3 does not align with the personnel expenses provided in Tab 5.</t>
  </si>
  <si>
    <t>REVENUE</t>
  </si>
  <si>
    <t>State Revenue - See Footnotes</t>
  </si>
  <si>
    <t>Total State Revenue:</t>
  </si>
  <si>
    <t>Federal Revenue - See Footnotes</t>
  </si>
  <si>
    <t>Total Federal Revenue:</t>
  </si>
  <si>
    <t>Total Other Revenue:</t>
  </si>
  <si>
    <t>TOTAL REVENUE:</t>
  </si>
  <si>
    <t xml:space="preserve">   *Ignore, this is a rounding error.</t>
  </si>
  <si>
    <t>Purchase of Furniture, Fixtures, and Equipment</t>
  </si>
  <si>
    <r>
      <t xml:space="preserve">Management Fee - </t>
    </r>
    <r>
      <rPr>
        <sz val="10"/>
        <color indexed="10"/>
        <rFont val="Calibri"/>
        <family val="2"/>
      </rPr>
      <t>See Note at top of Worksheet &amp; fn (8).</t>
    </r>
  </si>
  <si>
    <t>(8)  Include only those fees (per-pupil, contingent, or fixed) paid to a management company for educational or management services and describe how the fee is calculated in the budget narrative. All other or additional amounts paid to a management company or affiliate of the management company (e.g., lease payments, software, instructional material) must be accounted for, and described, elsewhere in this worksheet.</t>
  </si>
  <si>
    <t>Facilities Expenses</t>
  </si>
  <si>
    <t>Lease/Mortgage Payments (Facility)</t>
  </si>
  <si>
    <t xml:space="preserve">Depreciation Expense </t>
  </si>
  <si>
    <t>Insurance (Facility)</t>
  </si>
  <si>
    <t>Electric &amp; Gas</t>
  </si>
  <si>
    <t>Water &amp; Sewage</t>
  </si>
  <si>
    <t>Repair and Maintenance Services (include supply costs)</t>
  </si>
  <si>
    <t>Custodial Services (include supply costs)</t>
  </si>
  <si>
    <t>Waste Disposal</t>
  </si>
  <si>
    <t>Security Services</t>
  </si>
  <si>
    <t>Admin Assistants; Food Service; College/Career Coordinator; Add 1 FTE in Year 3 for Accounting Assistant</t>
  </si>
  <si>
    <t>Past IRS Payments</t>
  </si>
  <si>
    <t>Cares ACT PPE; $500 bond premium</t>
  </si>
  <si>
    <t xml:space="preserve">EOM, Roofing Maintenance; Fire Code Inspection/Maintenance - 2% increase </t>
  </si>
  <si>
    <t>Used average of FY17-FY21 for Title IV; CARES, GEER, SIG</t>
  </si>
  <si>
    <t>SSSG</t>
  </si>
  <si>
    <t xml:space="preserve">TAG - Used average of FY19 &amp; FY20; not included in FY21 budget as this is an in and out </t>
  </si>
  <si>
    <t>CTE $2k per kid with dual credit (estimate 5% of 12th grade)</t>
  </si>
  <si>
    <t>Conservative- no contributions</t>
  </si>
  <si>
    <t>Conservative- no student fees</t>
  </si>
  <si>
    <t>Conservative- no additional competive grants</t>
  </si>
  <si>
    <t>Elimination of Success Team teachers in FY22; 20:1 student teacher ratio for instructional staff, 2.5% salary increase each year</t>
  </si>
  <si>
    <t>Add .5 FTE in Year 6</t>
  </si>
  <si>
    <t>Add 1 FTE custodian in Year 9</t>
  </si>
  <si>
    <t xml:space="preserve">School Resource Officers </t>
  </si>
  <si>
    <t>Purchase of laptops with Cares Act - FY21 virtual; replacements moving forward</t>
  </si>
  <si>
    <t>Less supplies in FY21 due to virtual environment</t>
  </si>
  <si>
    <t xml:space="preserve">TFA Placement fee for 4 CMs; non instructional/office supplies </t>
  </si>
  <si>
    <t xml:space="preserve">5% increase </t>
  </si>
  <si>
    <t>ARC Payments; Starting year 3 rental of space ex Temple Israel $58k/St Marys $37.8k</t>
  </si>
  <si>
    <t>SBOE, IFF, SBA Payments</t>
  </si>
  <si>
    <t xml:space="preserve">Pulse Copy Machine contract </t>
  </si>
  <si>
    <t xml:space="preserve">ARC Interest </t>
  </si>
  <si>
    <t>SBOE, IFF, SBA Interest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</si>
</sst>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 numFmtId="179" formatCode="&quot;$&quot;#,##0"/>
    <numFmt numFmtId="180" formatCode="#,##0.000"/>
    <numFmt numFmtId="181" formatCode="0.000"/>
  </numFmts>
  <fonts count="83">
    <font>
      <sz val="11"/>
      <color theme="1"/>
      <name val="Calibri"/>
      <family val="2"/>
    </font>
    <font>
      <sz val="11"/>
      <color indexed="8"/>
      <name val="Calibri"/>
      <family val="2"/>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name val="Tahoma"/>
      <family val="2"/>
    </font>
    <font>
      <b/>
      <sz val="10"/>
      <color indexed="8"/>
      <name val="Calibri"/>
      <family val="2"/>
    </font>
    <font>
      <u val="single"/>
      <sz val="10"/>
      <color indexed="8"/>
      <name val="Calibri"/>
      <family val="2"/>
    </font>
    <font>
      <sz val="10"/>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Calibri"/>
      <family val="2"/>
    </font>
    <font>
      <b/>
      <sz val="10"/>
      <color indexed="10"/>
      <name val="Calibri"/>
      <family val="2"/>
    </font>
    <font>
      <sz val="10"/>
      <color indexed="30"/>
      <name val="Calibri"/>
      <family val="2"/>
    </font>
    <font>
      <sz val="11"/>
      <name val="Calibri"/>
      <family val="2"/>
    </font>
    <font>
      <b/>
      <sz val="10"/>
      <color indexed="9"/>
      <name val="Calibri"/>
      <family val="2"/>
    </font>
    <font>
      <i/>
      <sz val="10"/>
      <name val="Calibri"/>
      <family val="2"/>
    </font>
    <font>
      <sz val="10"/>
      <color indexed="49"/>
      <name val="Calibri"/>
      <family val="2"/>
    </font>
    <font>
      <i/>
      <sz val="10"/>
      <color indexed="8"/>
      <name val="Calibri"/>
      <family val="2"/>
    </font>
    <font>
      <b/>
      <i/>
      <sz val="10"/>
      <color indexed="10"/>
      <name val="Calibri"/>
      <family val="2"/>
    </font>
    <font>
      <b/>
      <sz val="14"/>
      <color indexed="8"/>
      <name val="Calibri"/>
      <family val="2"/>
    </font>
    <font>
      <sz val="12"/>
      <color indexed="63"/>
      <name val="Segoe UI"/>
      <family val="2"/>
    </font>
    <font>
      <b/>
      <u val="single"/>
      <sz val="10"/>
      <color indexed="8"/>
      <name val="Calibri"/>
      <family val="2"/>
    </font>
    <font>
      <sz val="14"/>
      <color indexed="8"/>
      <name val="Calibri"/>
      <family val="2"/>
    </font>
    <font>
      <b/>
      <u val="single"/>
      <sz val="11"/>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sz val="10"/>
      <color rgb="FFFF0000"/>
      <name val="Calibri"/>
      <family val="2"/>
    </font>
    <font>
      <sz val="10"/>
      <color rgb="FF0070C0"/>
      <name val="Calibri"/>
      <family val="2"/>
    </font>
    <font>
      <b/>
      <sz val="10"/>
      <color theme="0"/>
      <name val="Calibri"/>
      <family val="2"/>
    </font>
    <font>
      <sz val="10"/>
      <color theme="3" tint="0.39998000860214233"/>
      <name val="Calibri"/>
      <family val="2"/>
    </font>
    <font>
      <i/>
      <sz val="10"/>
      <color theme="1"/>
      <name val="Calibri"/>
      <family val="2"/>
    </font>
    <font>
      <b/>
      <i/>
      <sz val="10"/>
      <color rgb="FFFF0000"/>
      <name val="Calibri"/>
      <family val="2"/>
    </font>
    <font>
      <b/>
      <sz val="14"/>
      <color theme="1"/>
      <name val="Calibri"/>
      <family val="2"/>
    </font>
    <font>
      <sz val="10"/>
      <color rgb="FF000000"/>
      <name val="Calibri"/>
      <family val="2"/>
    </font>
    <font>
      <sz val="12"/>
      <color rgb="FF1E1E1E"/>
      <name val="Segoe UI"/>
      <family val="2"/>
    </font>
    <font>
      <b/>
      <u val="single"/>
      <sz val="10"/>
      <color theme="1"/>
      <name val="Calibri"/>
      <family val="2"/>
    </font>
    <font>
      <b/>
      <sz val="10"/>
      <color rgb="FFDD0806"/>
      <name val="Calibri"/>
      <family val="2"/>
    </font>
    <font>
      <sz val="14"/>
      <color theme="1"/>
      <name val="Calibri"/>
      <family val="2"/>
    </font>
    <font>
      <b/>
      <sz val="12"/>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theme="4" tint="0.5999900102615356"/>
        <bgColor indexed="64"/>
      </patternFill>
    </fill>
    <fill>
      <patternFill patternType="solid">
        <fgColor theme="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right/>
      <top/>
      <bottom style="thin"/>
    </border>
    <border>
      <left/>
      <right/>
      <top style="medium"/>
      <bottom/>
    </border>
    <border>
      <left style="thin"/>
      <right style="thin"/>
      <top>
        <color indexed="63"/>
      </top>
      <bottom>
        <color indexed="63"/>
      </bottom>
    </border>
    <border>
      <left/>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medium"/>
      <top/>
      <bottom/>
    </border>
    <border>
      <left style="medium"/>
      <right/>
      <top/>
      <bottom/>
    </border>
    <border>
      <left/>
      <right style="thin"/>
      <top/>
      <bottom style="thin"/>
    </border>
    <border>
      <left style="thin"/>
      <right style="thin"/>
      <top style="thin"/>
      <bottom style="thin"/>
    </border>
    <border>
      <left style="medium"/>
      <right/>
      <top style="medium"/>
      <bottom/>
    </border>
    <border>
      <left/>
      <right style="medium"/>
      <top style="medium"/>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style="thin"/>
      <botto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51">
    <xf numFmtId="0" fontId="0" fillId="0" borderId="0" xfId="0" applyFont="1" applyAlignment="1">
      <alignment/>
    </xf>
    <xf numFmtId="0" fontId="65" fillId="0" borderId="0" xfId="0" applyFont="1" applyAlignment="1" applyProtection="1">
      <alignment/>
      <protection/>
    </xf>
    <xf numFmtId="0" fontId="65" fillId="33" borderId="0" xfId="0" applyFont="1" applyFill="1" applyBorder="1" applyAlignment="1" applyProtection="1">
      <alignment vertical="center"/>
      <protection/>
    </xf>
    <xf numFmtId="49" fontId="65"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66" fillId="33" borderId="1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6" fillId="0" borderId="0" xfId="0" applyFont="1" applyFill="1" applyAlignment="1" applyProtection="1">
      <alignment horizontal="center" vertical="center"/>
      <protection/>
    </xf>
    <xf numFmtId="49" fontId="65" fillId="0" borderId="0" xfId="0" applyNumberFormat="1" applyFont="1" applyFill="1" applyAlignment="1" applyProtection="1">
      <alignment vertical="center"/>
      <protection/>
    </xf>
    <xf numFmtId="0" fontId="65" fillId="0" borderId="0" xfId="0" applyFont="1" applyFill="1" applyAlignment="1" applyProtection="1">
      <alignment vertical="center"/>
      <protection/>
    </xf>
    <xf numFmtId="0" fontId="5" fillId="33" borderId="11" xfId="59" applyFont="1" applyFill="1" applyBorder="1" applyProtection="1">
      <alignment/>
      <protection/>
    </xf>
    <xf numFmtId="0" fontId="67" fillId="33" borderId="0" xfId="54" applyFont="1" applyFill="1" applyAlignment="1" applyProtection="1">
      <alignment/>
      <protection/>
    </xf>
    <xf numFmtId="0" fontId="5" fillId="33" borderId="0" xfId="59" applyFont="1" applyFill="1" applyBorder="1" applyAlignment="1" applyProtection="1">
      <alignment vertical="center"/>
      <protection/>
    </xf>
    <xf numFmtId="0" fontId="66" fillId="33" borderId="12"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44" fontId="5" fillId="34" borderId="14" xfId="0" applyNumberFormat="1" applyFont="1" applyFill="1" applyBorder="1" applyAlignment="1" applyProtection="1">
      <alignment horizontal="center" vertical="center"/>
      <protection locked="0"/>
    </xf>
    <xf numFmtId="49" fontId="66" fillId="33" borderId="0" xfId="0" applyNumberFormat="1" applyFont="1" applyFill="1" applyBorder="1" applyAlignment="1" applyProtection="1">
      <alignment vertical="center"/>
      <protection/>
    </xf>
    <xf numFmtId="0" fontId="66" fillId="33" borderId="15"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17" xfId="0" applyFont="1" applyFill="1" applyBorder="1" applyAlignment="1" applyProtection="1">
      <alignment horizontal="center" vertical="center"/>
      <protection/>
    </xf>
    <xf numFmtId="49" fontId="65" fillId="33" borderId="18" xfId="0" applyNumberFormat="1" applyFont="1" applyFill="1" applyBorder="1" applyAlignment="1" applyProtection="1">
      <alignment vertical="center"/>
      <protection/>
    </xf>
    <xf numFmtId="49" fontId="66" fillId="33" borderId="17" xfId="0" applyNumberFormat="1" applyFont="1" applyFill="1" applyBorder="1" applyAlignment="1" applyProtection="1">
      <alignment vertical="center"/>
      <protection/>
    </xf>
    <xf numFmtId="0" fontId="65" fillId="33" borderId="0" xfId="0" applyFont="1" applyFill="1" applyBorder="1" applyAlignment="1" applyProtection="1">
      <alignment/>
      <protection/>
    </xf>
    <xf numFmtId="0" fontId="65" fillId="33" borderId="0" xfId="0" applyFont="1" applyFill="1" applyBorder="1" applyAlignment="1" applyProtection="1">
      <alignment vertical="center" wrapText="1"/>
      <protection/>
    </xf>
    <xf numFmtId="49" fontId="66" fillId="33" borderId="11" xfId="0" applyNumberFormat="1" applyFont="1" applyFill="1" applyBorder="1" applyAlignment="1" applyProtection="1">
      <alignment horizontal="right" vertical="center"/>
      <protection/>
    </xf>
    <xf numFmtId="0" fontId="65" fillId="33" borderId="19" xfId="0" applyFont="1" applyFill="1" applyBorder="1" applyAlignment="1" applyProtection="1">
      <alignment/>
      <protection/>
    </xf>
    <xf numFmtId="49" fontId="66" fillId="33" borderId="10" xfId="0" applyNumberFormat="1"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0" fontId="65" fillId="0" borderId="20" xfId="0" applyFont="1" applyFill="1" applyBorder="1" applyAlignment="1" applyProtection="1">
      <alignment/>
      <protection/>
    </xf>
    <xf numFmtId="49" fontId="65" fillId="33" borderId="15" xfId="0" applyNumberFormat="1" applyFont="1" applyFill="1" applyBorder="1" applyAlignment="1" applyProtection="1">
      <alignment vertical="center"/>
      <protection/>
    </xf>
    <xf numFmtId="49" fontId="65" fillId="33" borderId="17" xfId="0" applyNumberFormat="1" applyFont="1" applyFill="1" applyBorder="1" applyAlignment="1" applyProtection="1">
      <alignment vertical="center"/>
      <protection/>
    </xf>
    <xf numFmtId="49" fontId="65" fillId="33" borderId="16" xfId="0" applyNumberFormat="1" applyFont="1" applyFill="1" applyBorder="1" applyAlignment="1" applyProtection="1">
      <alignment vertical="center"/>
      <protection/>
    </xf>
    <xf numFmtId="49" fontId="66" fillId="33" borderId="21" xfId="0" applyNumberFormat="1" applyFont="1" applyFill="1" applyBorder="1" applyAlignment="1" applyProtection="1">
      <alignment vertical="center"/>
      <protection/>
    </xf>
    <xf numFmtId="0" fontId="65" fillId="33" borderId="20" xfId="0" applyFont="1" applyFill="1" applyBorder="1" applyAlignment="1" applyProtection="1">
      <alignment/>
      <protection/>
    </xf>
    <xf numFmtId="0" fontId="65" fillId="0" borderId="0" xfId="0" applyFont="1" applyFill="1" applyBorder="1" applyAlignment="1" applyProtection="1">
      <alignment/>
      <protection/>
    </xf>
    <xf numFmtId="49" fontId="66" fillId="33" borderId="17" xfId="0" applyNumberFormat="1" applyFont="1" applyFill="1" applyBorder="1" applyAlignment="1" applyProtection="1">
      <alignment horizontal="right" vertical="center"/>
      <protection/>
    </xf>
    <xf numFmtId="44" fontId="65" fillId="35" borderId="22" xfId="44" applyNumberFormat="1" applyFont="1" applyFill="1" applyBorder="1" applyAlignment="1" applyProtection="1">
      <alignment vertical="center"/>
      <protection locked="0"/>
    </xf>
    <xf numFmtId="0" fontId="68" fillId="35" borderId="22" xfId="0" applyFont="1" applyFill="1" applyBorder="1" applyAlignment="1" applyProtection="1">
      <alignment vertical="center" wrapText="1"/>
      <protection locked="0"/>
    </xf>
    <xf numFmtId="0" fontId="65" fillId="0" borderId="0" xfId="0" applyFont="1" applyFill="1" applyAlignment="1" applyProtection="1">
      <alignment/>
      <protection/>
    </xf>
    <xf numFmtId="0" fontId="65" fillId="33" borderId="23" xfId="0" applyFont="1" applyFill="1" applyBorder="1" applyAlignment="1" applyProtection="1">
      <alignment/>
      <protection/>
    </xf>
    <xf numFmtId="0" fontId="65" fillId="33" borderId="12" xfId="0" applyFont="1" applyFill="1" applyBorder="1" applyAlignment="1" applyProtection="1">
      <alignment/>
      <protection/>
    </xf>
    <xf numFmtId="0" fontId="65" fillId="33" borderId="24" xfId="0" applyFont="1" applyFill="1" applyBorder="1" applyAlignment="1" applyProtection="1">
      <alignment/>
      <protection/>
    </xf>
    <xf numFmtId="0" fontId="65" fillId="33" borderId="20" xfId="0" applyFont="1" applyFill="1" applyBorder="1" applyAlignment="1" applyProtection="1">
      <alignment/>
      <protection/>
    </xf>
    <xf numFmtId="0" fontId="65" fillId="33" borderId="0" xfId="0" applyFont="1" applyFill="1" applyBorder="1" applyAlignment="1" applyProtection="1">
      <alignment/>
      <protection/>
    </xf>
    <xf numFmtId="0" fontId="0" fillId="33" borderId="0" xfId="0" applyFill="1" applyAlignment="1" applyProtection="1">
      <alignment horizontal="center" vertical="center"/>
      <protection/>
    </xf>
    <xf numFmtId="0" fontId="65" fillId="33" borderId="19" xfId="0" applyFont="1" applyFill="1" applyBorder="1" applyAlignment="1" applyProtection="1">
      <alignment/>
      <protection/>
    </xf>
    <xf numFmtId="0" fontId="66" fillId="33" borderId="0" xfId="0" applyFont="1" applyFill="1" applyBorder="1" applyAlignment="1" applyProtection="1">
      <alignment vertical="center"/>
      <protection/>
    </xf>
    <xf numFmtId="49" fontId="65"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vertical="center" wrapText="1"/>
      <protection/>
    </xf>
    <xf numFmtId="165" fontId="65" fillId="33" borderId="0" xfId="44" applyNumberFormat="1" applyFont="1" applyFill="1" applyBorder="1" applyAlignment="1" applyProtection="1">
      <alignment vertical="center"/>
      <protection/>
    </xf>
    <xf numFmtId="0" fontId="4" fillId="33" borderId="10" xfId="59" applyFont="1" applyFill="1" applyBorder="1" applyAlignment="1" applyProtection="1">
      <alignment horizontal="center" vertical="center"/>
      <protection/>
    </xf>
    <xf numFmtId="0" fontId="4" fillId="33" borderId="14" xfId="59" applyFont="1" applyFill="1" applyBorder="1" applyAlignment="1" applyProtection="1">
      <alignment horizontal="center" vertical="center"/>
      <protection/>
    </xf>
    <xf numFmtId="0" fontId="4" fillId="33" borderId="25" xfId="59" applyFont="1" applyFill="1" applyBorder="1" applyAlignment="1" applyProtection="1">
      <alignment horizontal="center" vertical="center"/>
      <protection/>
    </xf>
    <xf numFmtId="0" fontId="65" fillId="33" borderId="16" xfId="0" applyFont="1" applyFill="1" applyBorder="1" applyAlignment="1" applyProtection="1">
      <alignment/>
      <protection/>
    </xf>
    <xf numFmtId="0" fontId="4" fillId="33" borderId="0" xfId="59" applyFont="1" applyFill="1" applyBorder="1" applyAlignment="1" applyProtection="1">
      <alignment horizontal="center" vertical="center"/>
      <protection/>
    </xf>
    <xf numFmtId="0" fontId="4" fillId="33" borderId="26" xfId="59" applyFont="1" applyFill="1" applyBorder="1" applyAlignment="1" applyProtection="1">
      <alignment horizontal="center" vertical="center"/>
      <protection/>
    </xf>
    <xf numFmtId="0" fontId="5" fillId="33" borderId="26" xfId="59" applyFont="1" applyFill="1" applyBorder="1" applyAlignment="1" applyProtection="1">
      <alignment horizontal="center" vertical="center"/>
      <protection/>
    </xf>
    <xf numFmtId="0" fontId="69" fillId="33" borderId="13" xfId="59" applyFont="1" applyFill="1" applyBorder="1" applyAlignment="1" applyProtection="1">
      <alignment horizontal="center" vertical="center"/>
      <protection/>
    </xf>
    <xf numFmtId="0" fontId="4" fillId="33" borderId="26" xfId="59" applyFont="1" applyFill="1" applyBorder="1" applyAlignment="1" applyProtection="1">
      <alignment horizontal="left" vertical="center"/>
      <protection/>
    </xf>
    <xf numFmtId="1" fontId="5" fillId="33" borderId="27" xfId="59" applyNumberFormat="1" applyFont="1" applyFill="1" applyBorder="1" applyAlignment="1" applyProtection="1">
      <alignment horizontal="center" vertical="center"/>
      <protection/>
    </xf>
    <xf numFmtId="1" fontId="5" fillId="33" borderId="13" xfId="59" applyNumberFormat="1" applyFont="1" applyFill="1" applyBorder="1" applyAlignment="1" applyProtection="1">
      <alignment horizontal="center" vertical="center"/>
      <protection/>
    </xf>
    <xf numFmtId="0" fontId="4" fillId="33" borderId="0" xfId="59" applyFont="1" applyFill="1" applyBorder="1" applyAlignment="1" applyProtection="1">
      <alignment horizontal="left" vertical="center"/>
      <protection/>
    </xf>
    <xf numFmtId="1" fontId="5" fillId="33" borderId="0" xfId="59" applyNumberFormat="1" applyFont="1" applyFill="1" applyBorder="1" applyAlignment="1" applyProtection="1">
      <alignment horizontal="center" vertical="center"/>
      <protection/>
    </xf>
    <xf numFmtId="1" fontId="5" fillId="33" borderId="26" xfId="59"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65" fontId="4" fillId="0" borderId="0" xfId="44" applyNumberFormat="1" applyFont="1" applyFill="1" applyBorder="1" applyAlignment="1" applyProtection="1">
      <alignment horizontal="right" vertical="center"/>
      <protection/>
    </xf>
    <xf numFmtId="1" fontId="5" fillId="33" borderId="10" xfId="59" applyNumberFormat="1" applyFont="1" applyFill="1" applyBorder="1" applyAlignment="1" applyProtection="1">
      <alignment horizontal="center" vertical="center"/>
      <protection/>
    </xf>
    <xf numFmtId="44" fontId="65" fillId="0" borderId="22" xfId="0" applyNumberFormat="1" applyFont="1" applyFill="1" applyBorder="1" applyAlignment="1" applyProtection="1">
      <alignment/>
      <protection/>
    </xf>
    <xf numFmtId="0" fontId="65" fillId="33" borderId="17" xfId="0" applyFont="1" applyFill="1" applyBorder="1" applyAlignment="1" applyProtection="1">
      <alignment/>
      <protection/>
    </xf>
    <xf numFmtId="0" fontId="6" fillId="33" borderId="11" xfId="59" applyFont="1" applyFill="1" applyBorder="1" applyAlignment="1" applyProtection="1">
      <alignment horizontal="center"/>
      <protection/>
    </xf>
    <xf numFmtId="0" fontId="5" fillId="33" borderId="21" xfId="59" applyFont="1" applyFill="1" applyBorder="1" applyProtection="1">
      <alignment/>
      <protection/>
    </xf>
    <xf numFmtId="6" fontId="65" fillId="0" borderId="0" xfId="0" applyNumberFormat="1" applyFont="1" applyFill="1" applyBorder="1" applyAlignment="1" applyProtection="1">
      <alignment horizontal="right" vertical="center"/>
      <protection/>
    </xf>
    <xf numFmtId="0" fontId="65" fillId="33" borderId="28" xfId="0" applyFont="1" applyFill="1" applyBorder="1" applyAlignment="1" applyProtection="1">
      <alignment/>
      <protection/>
    </xf>
    <xf numFmtId="0" fontId="65" fillId="33" borderId="29" xfId="0" applyFont="1" applyFill="1" applyBorder="1" applyAlignment="1" applyProtection="1">
      <alignment/>
      <protection/>
    </xf>
    <xf numFmtId="0" fontId="65" fillId="33" borderId="30" xfId="0" applyFont="1" applyFill="1" applyBorder="1" applyAlignment="1" applyProtection="1">
      <alignment/>
      <protection/>
    </xf>
    <xf numFmtId="0" fontId="65"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33" borderId="23" xfId="0" applyFont="1" applyFill="1" applyBorder="1" applyAlignment="1" applyProtection="1">
      <alignment vertical="center"/>
      <protection/>
    </xf>
    <xf numFmtId="0" fontId="5" fillId="33" borderId="24"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3" borderId="2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5" fillId="33" borderId="19" xfId="0" applyFont="1" applyFill="1" applyBorder="1" applyAlignment="1" applyProtection="1">
      <alignment vertical="center"/>
      <protection/>
    </xf>
    <xf numFmtId="0" fontId="4" fillId="0" borderId="0" xfId="0" applyFont="1" applyFill="1" applyAlignment="1" applyProtection="1">
      <alignment/>
      <protection/>
    </xf>
    <xf numFmtId="0" fontId="4" fillId="33" borderId="20"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33" borderId="15"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34" fillId="33" borderId="0" xfId="0" applyFont="1" applyFill="1" applyBorder="1" applyAlignment="1" applyProtection="1">
      <alignment horizontal="center" vertical="center"/>
      <protection/>
    </xf>
    <xf numFmtId="0" fontId="5" fillId="33" borderId="26" xfId="0" applyFont="1" applyFill="1" applyBorder="1" applyAlignment="1" applyProtection="1">
      <alignment vertical="center" wrapText="1"/>
      <protection/>
    </xf>
    <xf numFmtId="0" fontId="5" fillId="33" borderId="19" xfId="0" applyFont="1" applyFill="1" applyBorder="1" applyAlignment="1" applyProtection="1">
      <alignment vertical="center" wrapText="1"/>
      <protection/>
    </xf>
    <xf numFmtId="0" fontId="5" fillId="0" borderId="0" xfId="0" applyFont="1" applyBorder="1" applyAlignment="1" applyProtection="1">
      <alignment vertical="center" wrapText="1"/>
      <protection/>
    </xf>
    <xf numFmtId="5" fontId="4" fillId="0" borderId="27" xfId="0" applyNumberFormat="1" applyFont="1" applyBorder="1" applyAlignment="1" applyProtection="1">
      <alignment horizontal="center" vertical="center" wrapText="1"/>
      <protection/>
    </xf>
    <xf numFmtId="5" fontId="4" fillId="0" borderId="17" xfId="0" applyNumberFormat="1" applyFont="1" applyBorder="1" applyAlignment="1" applyProtection="1">
      <alignment horizontal="center" vertical="center" wrapText="1"/>
      <protection/>
    </xf>
    <xf numFmtId="5" fontId="4" fillId="0" borderId="22" xfId="0" applyNumberFormat="1" applyFont="1" applyBorder="1" applyAlignment="1" applyProtection="1">
      <alignment horizontal="center" vertical="center" wrapText="1"/>
      <protection/>
    </xf>
    <xf numFmtId="5" fontId="4" fillId="33" borderId="0" xfId="0" applyNumberFormat="1" applyFont="1" applyFill="1" applyBorder="1" applyAlignment="1" applyProtection="1">
      <alignment horizontal="center" vertical="center" wrapText="1"/>
      <protection/>
    </xf>
    <xf numFmtId="0" fontId="70" fillId="36" borderId="22" xfId="0" applyFont="1" applyFill="1" applyBorder="1" applyAlignment="1" applyProtection="1">
      <alignment vertical="center"/>
      <protection/>
    </xf>
    <xf numFmtId="0" fontId="70" fillId="33" borderId="0" xfId="0" applyFont="1" applyFill="1" applyBorder="1" applyAlignment="1" applyProtection="1">
      <alignment vertical="center"/>
      <protection/>
    </xf>
    <xf numFmtId="37" fontId="4" fillId="33" borderId="18" xfId="0" applyNumberFormat="1" applyFont="1" applyFill="1" applyBorder="1" applyAlignment="1" applyProtection="1">
      <alignment horizontal="center" vertical="center"/>
      <protection/>
    </xf>
    <xf numFmtId="37" fontId="4" fillId="33" borderId="14" xfId="0" applyNumberFormat="1" applyFont="1" applyFill="1" applyBorder="1" applyAlignment="1" applyProtection="1">
      <alignment horizontal="center" vertical="center"/>
      <protection/>
    </xf>
    <xf numFmtId="37" fontId="4" fillId="33" borderId="31"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3" fontId="4" fillId="33" borderId="18"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3" fontId="4" fillId="33" borderId="31"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0" fontId="5" fillId="33" borderId="26" xfId="0" applyFont="1" applyFill="1" applyBorder="1" applyAlignment="1" applyProtection="1">
      <alignment vertical="center"/>
      <protection/>
    </xf>
    <xf numFmtId="44" fontId="5" fillId="0" borderId="22" xfId="0" applyNumberFormat="1" applyFont="1" applyFill="1" applyBorder="1" applyAlignment="1" applyProtection="1">
      <alignment horizontal="center" vertical="center"/>
      <protection/>
    </xf>
    <xf numFmtId="44" fontId="5" fillId="33" borderId="0"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4" fillId="37" borderId="22" xfId="0" applyFont="1" applyFill="1" applyBorder="1" applyAlignment="1" applyProtection="1">
      <alignment vertical="center"/>
      <protection/>
    </xf>
    <xf numFmtId="167" fontId="4" fillId="0" borderId="22" xfId="0" applyNumberFormat="1" applyFont="1" applyFill="1" applyBorder="1" applyAlignment="1" applyProtection="1">
      <alignment horizontal="center" vertical="center"/>
      <protection/>
    </xf>
    <xf numFmtId="44" fontId="4" fillId="0" borderId="32" xfId="0" applyNumberFormat="1" applyFont="1" applyFill="1" applyBorder="1" applyAlignment="1" applyProtection="1">
      <alignment horizontal="center" vertical="center"/>
      <protection/>
    </xf>
    <xf numFmtId="44" fontId="4" fillId="0" borderId="22" xfId="0" applyNumberFormat="1" applyFont="1" applyFill="1" applyBorder="1" applyAlignment="1" applyProtection="1">
      <alignment horizontal="center" vertical="center"/>
      <protection/>
    </xf>
    <xf numFmtId="44" fontId="4" fillId="33" borderId="0" xfId="0" applyNumberFormat="1" applyFont="1" applyFill="1" applyBorder="1" applyAlignment="1" applyProtection="1">
      <alignment horizontal="center" vertical="center"/>
      <protection/>
    </xf>
    <xf numFmtId="0" fontId="4" fillId="37" borderId="32" xfId="0" applyFont="1" applyFill="1" applyBorder="1" applyAlignment="1" applyProtection="1">
      <alignment vertical="center"/>
      <protection/>
    </xf>
    <xf numFmtId="0" fontId="4" fillId="37" borderId="16"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26"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167" fontId="5" fillId="33" borderId="0" xfId="0" applyNumberFormat="1" applyFont="1" applyFill="1" applyBorder="1" applyAlignment="1" applyProtection="1">
      <alignment horizontal="center" vertical="center"/>
      <protection/>
    </xf>
    <xf numFmtId="3" fontId="5" fillId="33" borderId="26" xfId="0" applyNumberFormat="1"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167" fontId="4" fillId="33" borderId="0" xfId="0" applyNumberFormat="1" applyFont="1" applyFill="1" applyBorder="1" applyAlignment="1" applyProtection="1">
      <alignment horizontal="center" vertical="center"/>
      <protection/>
    </xf>
    <xf numFmtId="0" fontId="4" fillId="33" borderId="13" xfId="0" applyFont="1" applyFill="1" applyBorder="1" applyAlignment="1" applyProtection="1">
      <alignment vertical="center"/>
      <protection/>
    </xf>
    <xf numFmtId="167" fontId="4" fillId="33" borderId="15" xfId="0" applyNumberFormat="1" applyFont="1" applyFill="1" applyBorder="1" applyAlignment="1" applyProtection="1">
      <alignment horizontal="center" vertical="center"/>
      <protection/>
    </xf>
    <xf numFmtId="44" fontId="4" fillId="33" borderId="11" xfId="0" applyNumberFormat="1" applyFont="1" applyFill="1" applyBorder="1" applyAlignment="1" applyProtection="1">
      <alignment horizontal="center" vertical="center"/>
      <protection/>
    </xf>
    <xf numFmtId="44" fontId="4" fillId="33" borderId="31" xfId="0" applyNumberFormat="1" applyFont="1" applyFill="1" applyBorder="1" applyAlignment="1" applyProtection="1">
      <alignment horizontal="center" vertical="center"/>
      <protection/>
    </xf>
    <xf numFmtId="44" fontId="5" fillId="33" borderId="11" xfId="0" applyNumberFormat="1" applyFont="1" applyFill="1" applyBorder="1" applyAlignment="1" applyProtection="1">
      <alignment horizontal="center" vertical="center"/>
      <protection/>
    </xf>
    <xf numFmtId="167" fontId="4" fillId="33" borderId="31" xfId="0" applyNumberFormat="1" applyFont="1" applyFill="1" applyBorder="1" applyAlignment="1" applyProtection="1">
      <alignment horizontal="center" vertical="center"/>
      <protection/>
    </xf>
    <xf numFmtId="167" fontId="4" fillId="33" borderId="26" xfId="0" applyNumberFormat="1" applyFont="1" applyFill="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5" fontId="4" fillId="33" borderId="13" xfId="0" applyNumberFormat="1" applyFont="1" applyFill="1" applyBorder="1" applyAlignment="1" applyProtection="1">
      <alignment horizontal="center" vertical="center" wrapText="1"/>
      <protection/>
    </xf>
    <xf numFmtId="5" fontId="4" fillId="0" borderId="11" xfId="0" applyNumberFormat="1" applyFont="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1" fontId="5" fillId="33" borderId="16" xfId="0" applyNumberFormat="1"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1" fontId="5" fillId="33" borderId="31"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1" fontId="5" fillId="33" borderId="13" xfId="0" applyNumberFormat="1"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168" fontId="5" fillId="0" borderId="22" xfId="0" applyNumberFormat="1" applyFont="1" applyFill="1" applyBorder="1" applyAlignment="1" applyProtection="1">
      <alignment horizontal="center" vertical="center"/>
      <protection/>
    </xf>
    <xf numFmtId="168" fontId="5" fillId="0" borderId="31" xfId="0" applyNumberFormat="1" applyFont="1" applyFill="1" applyBorder="1" applyAlignment="1" applyProtection="1">
      <alignment horizontal="center" vertical="center"/>
      <protection/>
    </xf>
    <xf numFmtId="10" fontId="5" fillId="0" borderId="22" xfId="0" applyNumberFormat="1" applyFont="1" applyFill="1" applyBorder="1" applyAlignment="1" applyProtection="1">
      <alignment horizontal="center" vertical="center"/>
      <protection/>
    </xf>
    <xf numFmtId="10" fontId="5" fillId="0" borderId="31" xfId="0" applyNumberFormat="1" applyFont="1" applyFill="1" applyBorder="1" applyAlignment="1" applyProtection="1">
      <alignment horizontal="center" vertical="center"/>
      <protection/>
    </xf>
    <xf numFmtId="0" fontId="5" fillId="33" borderId="17" xfId="0" applyFont="1" applyFill="1" applyBorder="1" applyAlignment="1" applyProtection="1">
      <alignment vertical="center"/>
      <protection/>
    </xf>
    <xf numFmtId="0" fontId="4" fillId="37" borderId="11"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5" fillId="33" borderId="11" xfId="0" applyFont="1" applyFill="1" applyBorder="1" applyAlignment="1" applyProtection="1">
      <alignment vertical="center"/>
      <protection/>
    </xf>
    <xf numFmtId="167" fontId="4" fillId="37" borderId="11" xfId="0" applyNumberFormat="1" applyFont="1" applyFill="1" applyBorder="1" applyAlignment="1" applyProtection="1">
      <alignment horizontal="center" vertical="center"/>
      <protection/>
    </xf>
    <xf numFmtId="44" fontId="4" fillId="37" borderId="11" xfId="0" applyNumberFormat="1" applyFont="1" applyFill="1" applyBorder="1" applyAlignment="1" applyProtection="1">
      <alignment horizontal="center" vertical="center"/>
      <protection/>
    </xf>
    <xf numFmtId="167" fontId="4" fillId="33" borderId="11" xfId="0" applyNumberFormat="1"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5" fontId="5" fillId="0" borderId="0" xfId="0" applyNumberFormat="1" applyFont="1" applyFill="1" applyBorder="1" applyAlignment="1" applyProtection="1">
      <alignment/>
      <protection/>
    </xf>
    <xf numFmtId="167" fontId="4" fillId="37" borderId="0" xfId="0" applyNumberFormat="1" applyFont="1" applyFill="1" applyBorder="1" applyAlignment="1" applyProtection="1">
      <alignment horizontal="center" vertical="center"/>
      <protection/>
    </xf>
    <xf numFmtId="44" fontId="4" fillId="37" borderId="0" xfId="0" applyNumberFormat="1"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167" fontId="4" fillId="37" borderId="10" xfId="0" applyNumberFormat="1" applyFont="1" applyFill="1" applyBorder="1" applyAlignment="1" applyProtection="1">
      <alignment horizontal="center" vertical="center"/>
      <protection/>
    </xf>
    <xf numFmtId="44" fontId="4" fillId="37" borderId="10" xfId="0" applyNumberFormat="1"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0" fontId="70" fillId="38" borderId="22" xfId="0" applyFont="1" applyFill="1" applyBorder="1" applyAlignment="1" applyProtection="1">
      <alignment vertical="center"/>
      <protection/>
    </xf>
    <xf numFmtId="42" fontId="4" fillId="33" borderId="0"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42" fontId="4" fillId="33" borderId="0" xfId="46" applyNumberFormat="1" applyFont="1" applyFill="1" applyBorder="1" applyAlignment="1" applyProtection="1">
      <alignment vertical="center"/>
      <protection/>
    </xf>
    <xf numFmtId="0" fontId="6" fillId="33" borderId="19" xfId="0" applyFont="1" applyFill="1" applyBorder="1" applyAlignment="1" applyProtection="1">
      <alignment vertical="center"/>
      <protection/>
    </xf>
    <xf numFmtId="0" fontId="4" fillId="0" borderId="0" xfId="0" applyFont="1" applyFill="1" applyBorder="1" applyAlignment="1" applyProtection="1">
      <alignment/>
      <protection/>
    </xf>
    <xf numFmtId="9" fontId="5" fillId="0" borderId="0" xfId="0" applyNumberFormat="1" applyFont="1" applyFill="1" applyBorder="1" applyAlignment="1" applyProtection="1">
      <alignment horizontal="center"/>
      <protection/>
    </xf>
    <xf numFmtId="1" fontId="5" fillId="33" borderId="0" xfId="0" applyNumberFormat="1" applyFont="1" applyFill="1" applyBorder="1" applyAlignment="1" applyProtection="1">
      <alignment vertical="center"/>
      <protection/>
    </xf>
    <xf numFmtId="44" fontId="4" fillId="33" borderId="26" xfId="0" applyNumberFormat="1" applyFont="1" applyFill="1" applyBorder="1" applyAlignment="1" applyProtection="1">
      <alignment horizontal="center" vertical="center"/>
      <protection/>
    </xf>
    <xf numFmtId="44" fontId="4" fillId="33" borderId="26"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xf>
    <xf numFmtId="167" fontId="5" fillId="33" borderId="11" xfId="0" applyNumberFormat="1" applyFont="1" applyFill="1" applyBorder="1" applyAlignment="1" applyProtection="1">
      <alignment horizontal="center" vertical="center"/>
      <protection/>
    </xf>
    <xf numFmtId="167" fontId="4" fillId="33" borderId="21" xfId="0" applyNumberFormat="1" applyFont="1" applyFill="1" applyBorder="1" applyAlignment="1" applyProtection="1">
      <alignment horizontal="center" vertical="center"/>
      <protection/>
    </xf>
    <xf numFmtId="0" fontId="36" fillId="33" borderId="11"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9" xfId="0" applyFont="1" applyFill="1" applyBorder="1" applyAlignment="1" applyProtection="1">
      <alignment vertical="center"/>
      <protection/>
    </xf>
    <xf numFmtId="0" fontId="5" fillId="33" borderId="30" xfId="0" applyFont="1" applyFill="1" applyBorder="1" applyAlignment="1" applyProtection="1">
      <alignment vertical="center"/>
      <protection/>
    </xf>
    <xf numFmtId="1" fontId="5" fillId="0" borderId="0" xfId="0" applyNumberFormat="1" applyFont="1" applyFill="1" applyAlignment="1" applyProtection="1">
      <alignment/>
      <protection/>
    </xf>
    <xf numFmtId="165" fontId="65" fillId="0" borderId="0" xfId="44" applyNumberFormat="1" applyFont="1" applyFill="1" applyAlignment="1" applyProtection="1">
      <alignment vertical="center"/>
      <protection/>
    </xf>
    <xf numFmtId="0" fontId="71" fillId="0" borderId="0" xfId="0" applyFont="1" applyFill="1" applyAlignment="1" applyProtection="1">
      <alignment vertical="center"/>
      <protection/>
    </xf>
    <xf numFmtId="0" fontId="65" fillId="0" borderId="0" xfId="0" applyFont="1" applyFill="1" applyAlignment="1" applyProtection="1">
      <alignment vertical="center" wrapText="1"/>
      <protection/>
    </xf>
    <xf numFmtId="0" fontId="65" fillId="33" borderId="23" xfId="0" applyFont="1" applyFill="1" applyBorder="1" applyAlignment="1" applyProtection="1">
      <alignment vertical="center"/>
      <protection/>
    </xf>
    <xf numFmtId="0" fontId="71" fillId="33" borderId="12" xfId="0" applyFont="1" applyFill="1" applyBorder="1" applyAlignment="1" applyProtection="1">
      <alignment vertical="center"/>
      <protection/>
    </xf>
    <xf numFmtId="0" fontId="65" fillId="33" borderId="24" xfId="0" applyFont="1" applyFill="1" applyBorder="1" applyAlignment="1" applyProtection="1">
      <alignment vertical="center"/>
      <protection/>
    </xf>
    <xf numFmtId="0" fontId="65" fillId="33" borderId="20" xfId="0" applyFont="1" applyFill="1" applyBorder="1" applyAlignment="1" applyProtection="1">
      <alignment vertical="center"/>
      <protection/>
    </xf>
    <xf numFmtId="165" fontId="65" fillId="33" borderId="0" xfId="44" applyNumberFormat="1"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65" fillId="33" borderId="19" xfId="0" applyFont="1" applyFill="1" applyBorder="1" applyAlignment="1" applyProtection="1">
      <alignment vertical="center"/>
      <protection/>
    </xf>
    <xf numFmtId="0" fontId="65" fillId="0" borderId="0" xfId="0" applyFont="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0" fillId="0" borderId="26" xfId="0" applyBorder="1" applyAlignment="1" applyProtection="1">
      <alignment horizontal="center" vertical="center"/>
      <protection/>
    </xf>
    <xf numFmtId="0" fontId="66" fillId="33" borderId="14" xfId="0" applyFont="1" applyFill="1" applyBorder="1" applyAlignment="1" applyProtection="1">
      <alignment vertical="center"/>
      <protection/>
    </xf>
    <xf numFmtId="165" fontId="65" fillId="33" borderId="14" xfId="44" applyNumberFormat="1" applyFont="1" applyFill="1" applyBorder="1" applyAlignment="1" applyProtection="1">
      <alignment vertical="center"/>
      <protection/>
    </xf>
    <xf numFmtId="0" fontId="68" fillId="33" borderId="26" xfId="0" applyFont="1" applyFill="1" applyBorder="1" applyAlignment="1" applyProtection="1">
      <alignment vertical="center" wrapText="1"/>
      <protection/>
    </xf>
    <xf numFmtId="0" fontId="72"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vertical="center"/>
      <protection/>
    </xf>
    <xf numFmtId="44" fontId="65" fillId="33" borderId="22" xfId="44" applyNumberFormat="1" applyFont="1" applyFill="1" applyBorder="1" applyAlignment="1" applyProtection="1">
      <alignment vertical="center"/>
      <protection/>
    </xf>
    <xf numFmtId="49" fontId="5" fillId="33" borderId="19" xfId="0" applyNumberFormat="1" applyFont="1" applyFill="1" applyBorder="1" applyAlignment="1" applyProtection="1">
      <alignment horizontal="left" vertical="center"/>
      <protection/>
    </xf>
    <xf numFmtId="0" fontId="68" fillId="33" borderId="26" xfId="0" applyFont="1" applyFill="1" applyBorder="1" applyAlignment="1" applyProtection="1">
      <alignment vertical="center"/>
      <protection/>
    </xf>
    <xf numFmtId="0" fontId="71" fillId="33" borderId="26" xfId="0" applyFont="1" applyFill="1" applyBorder="1" applyAlignment="1" applyProtection="1">
      <alignment vertical="center"/>
      <protection/>
    </xf>
    <xf numFmtId="4" fontId="68" fillId="33" borderId="26" xfId="0" applyNumberFormat="1" applyFont="1" applyFill="1" applyBorder="1" applyAlignment="1" applyProtection="1">
      <alignment vertical="center" wrapText="1"/>
      <protection/>
    </xf>
    <xf numFmtId="0" fontId="65" fillId="33" borderId="19" xfId="0" applyFont="1" applyFill="1" applyBorder="1" applyAlignment="1" applyProtection="1">
      <alignment horizontal="left" vertical="center"/>
      <protection/>
    </xf>
    <xf numFmtId="0" fontId="65" fillId="33" borderId="14" xfId="0" applyFont="1" applyFill="1" applyBorder="1" applyAlignment="1" applyProtection="1">
      <alignment vertical="center"/>
      <protection/>
    </xf>
    <xf numFmtId="44" fontId="66" fillId="33" borderId="22" xfId="0" applyNumberFormat="1" applyFont="1" applyFill="1" applyBorder="1" applyAlignment="1" applyProtection="1">
      <alignment horizontal="right" vertical="center"/>
      <protection/>
    </xf>
    <xf numFmtId="165" fontId="65" fillId="33" borderId="10" xfId="44" applyNumberFormat="1" applyFont="1" applyFill="1" applyBorder="1" applyAlignment="1" applyProtection="1">
      <alignment vertical="center"/>
      <protection/>
    </xf>
    <xf numFmtId="0" fontId="68" fillId="33" borderId="25" xfId="0" applyFont="1" applyFill="1" applyBorder="1" applyAlignment="1" applyProtection="1">
      <alignment vertical="center" wrapText="1"/>
      <protection/>
    </xf>
    <xf numFmtId="0" fontId="68" fillId="33" borderId="21" xfId="0" applyFont="1" applyFill="1" applyBorder="1" applyAlignment="1" applyProtection="1">
      <alignment vertical="center" wrapText="1"/>
      <protection/>
    </xf>
    <xf numFmtId="0" fontId="66" fillId="33" borderId="11" xfId="0" applyFont="1" applyFill="1" applyBorder="1" applyAlignment="1" applyProtection="1">
      <alignment vertical="center"/>
      <protection/>
    </xf>
    <xf numFmtId="165" fontId="65" fillId="33" borderId="11" xfId="44" applyNumberFormat="1" applyFont="1" applyFill="1" applyBorder="1" applyAlignment="1" applyProtection="1">
      <alignment vertical="center"/>
      <protection/>
    </xf>
    <xf numFmtId="43" fontId="5" fillId="33" borderId="19" xfId="0" applyNumberFormat="1" applyFont="1" applyFill="1" applyBorder="1" applyAlignment="1" applyProtection="1">
      <alignment horizontal="left" vertical="center"/>
      <protection/>
    </xf>
    <xf numFmtId="0" fontId="65" fillId="33" borderId="11" xfId="0" applyFont="1" applyFill="1" applyBorder="1" applyAlignment="1" applyProtection="1">
      <alignment vertical="center"/>
      <protection/>
    </xf>
    <xf numFmtId="0" fontId="68" fillId="33" borderId="25" xfId="0" applyFont="1" applyFill="1" applyBorder="1" applyAlignment="1" applyProtection="1">
      <alignment vertical="center"/>
      <protection/>
    </xf>
    <xf numFmtId="0" fontId="65" fillId="0" borderId="0" xfId="0" applyFont="1" applyFill="1" applyBorder="1" applyAlignment="1" applyProtection="1">
      <alignment vertical="center" wrapText="1"/>
      <protection/>
    </xf>
    <xf numFmtId="0" fontId="68" fillId="33" borderId="21" xfId="0" applyFont="1" applyFill="1" applyBorder="1" applyAlignment="1" applyProtection="1">
      <alignment vertical="center"/>
      <protection/>
    </xf>
    <xf numFmtId="0" fontId="66" fillId="33" borderId="26" xfId="0" applyFont="1" applyFill="1" applyBorder="1" applyAlignment="1" applyProtection="1">
      <alignment vertical="center"/>
      <protection/>
    </xf>
    <xf numFmtId="0" fontId="65" fillId="0" borderId="0" xfId="0" applyFont="1" applyFill="1" applyAlignment="1" applyProtection="1">
      <alignment horizontal="center" vertical="center" wrapText="1"/>
      <protection/>
    </xf>
    <xf numFmtId="49" fontId="68" fillId="33" borderId="26" xfId="0" applyNumberFormat="1" applyFont="1" applyFill="1" applyBorder="1" applyAlignment="1" applyProtection="1">
      <alignment horizontal="center" vertical="center" wrapText="1"/>
      <protection/>
    </xf>
    <xf numFmtId="43" fontId="5" fillId="33" borderId="19" xfId="0" applyNumberFormat="1" applyFont="1" applyFill="1" applyBorder="1" applyAlignment="1" applyProtection="1">
      <alignment horizontal="left" vertical="center" wrapText="1"/>
      <protection/>
    </xf>
    <xf numFmtId="0" fontId="71" fillId="33" borderId="21" xfId="0" applyFont="1" applyFill="1" applyBorder="1" applyAlignment="1" applyProtection="1">
      <alignment vertical="center"/>
      <protection/>
    </xf>
    <xf numFmtId="0" fontId="72" fillId="0" borderId="0" xfId="0" applyFont="1" applyFill="1" applyAlignment="1" applyProtection="1">
      <alignment vertical="center" wrapText="1"/>
      <protection/>
    </xf>
    <xf numFmtId="0" fontId="65" fillId="33" borderId="31" xfId="0" applyFont="1" applyFill="1" applyBorder="1" applyAlignment="1" applyProtection="1">
      <alignment vertical="center"/>
      <protection/>
    </xf>
    <xf numFmtId="0" fontId="73" fillId="33" borderId="26" xfId="0" applyFont="1" applyFill="1" applyBorder="1" applyAlignment="1" applyProtection="1">
      <alignment vertical="center" wrapText="1"/>
      <protection/>
    </xf>
    <xf numFmtId="0" fontId="65" fillId="33" borderId="26" xfId="0" applyFont="1" applyFill="1" applyBorder="1" applyAlignment="1" applyProtection="1">
      <alignment vertical="center" wrapText="1"/>
      <protection/>
    </xf>
    <xf numFmtId="165" fontId="66" fillId="33" borderId="10" xfId="44" applyNumberFormat="1" applyFont="1" applyFill="1" applyBorder="1" applyAlignment="1" applyProtection="1">
      <alignment vertical="center"/>
      <protection/>
    </xf>
    <xf numFmtId="0" fontId="66" fillId="33" borderId="11" xfId="0" applyFont="1" applyFill="1" applyBorder="1" applyAlignment="1" applyProtection="1">
      <alignment vertical="center" wrapText="1"/>
      <protection/>
    </xf>
    <xf numFmtId="0" fontId="65" fillId="33" borderId="11" xfId="0" applyFont="1" applyFill="1" applyBorder="1" applyAlignment="1" applyProtection="1">
      <alignment vertical="center" wrapText="1"/>
      <protection/>
    </xf>
    <xf numFmtId="0" fontId="66" fillId="33" borderId="11" xfId="0" applyFont="1" applyFill="1" applyBorder="1" applyAlignment="1" applyProtection="1">
      <alignment horizontal="right" vertical="center"/>
      <protection/>
    </xf>
    <xf numFmtId="165" fontId="66" fillId="33" borderId="11" xfId="44" applyNumberFormat="1" applyFont="1" applyFill="1" applyBorder="1" applyAlignment="1" applyProtection="1">
      <alignment vertical="center"/>
      <protection/>
    </xf>
    <xf numFmtId="0" fontId="68" fillId="33" borderId="11" xfId="0" applyFont="1" applyFill="1" applyBorder="1" applyAlignment="1" applyProtection="1">
      <alignment vertical="center"/>
      <protection/>
    </xf>
    <xf numFmtId="165" fontId="65" fillId="33" borderId="29" xfId="44" applyNumberFormat="1" applyFont="1" applyFill="1" applyBorder="1" applyAlignment="1" applyProtection="1">
      <alignment vertical="center"/>
      <protection/>
    </xf>
    <xf numFmtId="49" fontId="68" fillId="35" borderId="22" xfId="0" applyNumberFormat="1" applyFont="1" applyFill="1" applyBorder="1" applyAlignment="1" applyProtection="1">
      <alignment horizontal="center" vertical="center" wrapText="1"/>
      <protection locked="0"/>
    </xf>
    <xf numFmtId="0" fontId="67" fillId="33" borderId="22" xfId="54" applyFont="1" applyFill="1" applyBorder="1" applyAlignment="1" applyProtection="1">
      <alignment vertical="center"/>
      <protection locked="0"/>
    </xf>
    <xf numFmtId="0" fontId="65" fillId="0" borderId="0" xfId="0" applyFont="1" applyAlignment="1">
      <alignment horizontal="center" vertical="center"/>
    </xf>
    <xf numFmtId="0" fontId="65" fillId="39" borderId="33" xfId="0" applyFont="1" applyFill="1" applyBorder="1" applyAlignment="1">
      <alignment horizontal="center" vertical="center"/>
    </xf>
    <xf numFmtId="0" fontId="65" fillId="0" borderId="0" xfId="0" applyFont="1" applyAlignment="1">
      <alignment vertical="center"/>
    </xf>
    <xf numFmtId="0" fontId="5" fillId="0" borderId="0" xfId="0" applyNumberFormat="1" applyFont="1" applyAlignment="1">
      <alignment vertical="center"/>
    </xf>
    <xf numFmtId="0" fontId="65" fillId="39" borderId="33" xfId="0" applyFont="1" applyFill="1" applyBorder="1" applyAlignment="1">
      <alignment vertical="center"/>
    </xf>
    <xf numFmtId="0" fontId="4" fillId="33" borderId="15" xfId="0" applyNumberFormat="1" applyFont="1" applyFill="1" applyBorder="1" applyAlignment="1">
      <alignment/>
    </xf>
    <xf numFmtId="49" fontId="65" fillId="33" borderId="10" xfId="0" applyNumberFormat="1" applyFont="1" applyFill="1" applyBorder="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xf>
    <xf numFmtId="0" fontId="65" fillId="33" borderId="25" xfId="0" applyFont="1" applyFill="1" applyBorder="1" applyAlignment="1">
      <alignment/>
    </xf>
    <xf numFmtId="0" fontId="4" fillId="33" borderId="16" xfId="0" applyNumberFormat="1" applyFont="1" applyFill="1" applyBorder="1" applyAlignment="1">
      <alignment/>
    </xf>
    <xf numFmtId="49" fontId="65" fillId="33" borderId="0" xfId="0" applyNumberFormat="1" applyFont="1" applyFill="1" applyBorder="1" applyAlignment="1">
      <alignment/>
    </xf>
    <xf numFmtId="0" fontId="65" fillId="33" borderId="0" xfId="0" applyFont="1" applyFill="1" applyBorder="1" applyAlignment="1">
      <alignment horizontal="center" vertical="center"/>
    </xf>
    <xf numFmtId="0" fontId="65" fillId="33" borderId="0" xfId="0" applyFont="1" applyFill="1" applyBorder="1" applyAlignment="1">
      <alignment/>
    </xf>
    <xf numFmtId="0" fontId="65" fillId="33" borderId="26" xfId="0" applyFont="1" applyFill="1" applyBorder="1" applyAlignment="1">
      <alignment/>
    </xf>
    <xf numFmtId="0" fontId="4" fillId="33" borderId="17" xfId="0" applyNumberFormat="1" applyFont="1" applyFill="1" applyBorder="1" applyAlignment="1">
      <alignment/>
    </xf>
    <xf numFmtId="49" fontId="65" fillId="33" borderId="11" xfId="0" applyNumberFormat="1" applyFont="1" applyFill="1" applyBorder="1" applyAlignment="1">
      <alignment/>
    </xf>
    <xf numFmtId="0" fontId="65" fillId="33" borderId="11" xfId="0" applyFont="1" applyFill="1" applyBorder="1" applyAlignment="1">
      <alignment horizontal="center" vertical="center"/>
    </xf>
    <xf numFmtId="0" fontId="65" fillId="33" borderId="11" xfId="0" applyFont="1" applyFill="1" applyBorder="1" applyAlignment="1">
      <alignment/>
    </xf>
    <xf numFmtId="0" fontId="65" fillId="33" borderId="21" xfId="0" applyFont="1" applyFill="1" applyBorder="1" applyAlignment="1">
      <alignment/>
    </xf>
    <xf numFmtId="0" fontId="70" fillId="40" borderId="34" xfId="0" applyFont="1" applyFill="1" applyBorder="1" applyAlignment="1">
      <alignment horizontal="center" vertical="center" wrapText="1"/>
    </xf>
    <xf numFmtId="1" fontId="4" fillId="33" borderId="14" xfId="59" applyNumberFormat="1" applyFont="1" applyFill="1" applyBorder="1" applyAlignment="1" applyProtection="1">
      <alignment horizontal="center" vertical="center"/>
      <protection/>
    </xf>
    <xf numFmtId="1" fontId="4" fillId="33" borderId="31" xfId="59" applyNumberFormat="1" applyFont="1" applyFill="1" applyBorder="1" applyAlignment="1" applyProtection="1">
      <alignment horizontal="center" vertical="center"/>
      <protection/>
    </xf>
    <xf numFmtId="0" fontId="66" fillId="0" borderId="0" xfId="0" applyFont="1" applyAlignment="1">
      <alignment vertical="center"/>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0" fontId="68" fillId="33" borderId="13" xfId="0" applyFont="1" applyFill="1" applyBorder="1" applyAlignment="1" applyProtection="1">
      <alignment vertical="center" wrapText="1"/>
      <protection/>
    </xf>
    <xf numFmtId="0" fontId="5" fillId="33" borderId="13" xfId="0" applyFont="1" applyFill="1" applyBorder="1" applyAlignment="1" applyProtection="1">
      <alignment horizontal="center" vertical="center" wrapText="1"/>
      <protection/>
    </xf>
    <xf numFmtId="0" fontId="65" fillId="33" borderId="10" xfId="0" applyFont="1" applyFill="1" applyBorder="1" applyAlignment="1" applyProtection="1">
      <alignment horizontal="center" vertical="center"/>
      <protection/>
    </xf>
    <xf numFmtId="44" fontId="66" fillId="33" borderId="22" xfId="44" applyNumberFormat="1" applyFont="1" applyFill="1" applyBorder="1" applyAlignment="1" applyProtection="1">
      <alignment vertical="center"/>
      <protection/>
    </xf>
    <xf numFmtId="0" fontId="74" fillId="0" borderId="0" xfId="0" applyFont="1" applyAlignment="1">
      <alignment horizontal="center" vertical="center"/>
    </xf>
    <xf numFmtId="0" fontId="0" fillId="0" borderId="0" xfId="0" applyAlignment="1">
      <alignment vertical="center"/>
    </xf>
    <xf numFmtId="0" fontId="65" fillId="0" borderId="0" xfId="0" applyFont="1" applyAlignment="1">
      <alignment horizontal="center" vertical="center"/>
    </xf>
    <xf numFmtId="44" fontId="65" fillId="0" borderId="0" xfId="0" applyNumberFormat="1" applyFont="1" applyAlignment="1">
      <alignment vertical="center"/>
    </xf>
    <xf numFmtId="0" fontId="70" fillId="4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176" fontId="65" fillId="39" borderId="0" xfId="0" applyNumberFormat="1" applyFont="1" applyFill="1" applyBorder="1" applyAlignment="1">
      <alignment horizontal="center" vertical="center"/>
    </xf>
    <xf numFmtId="176" fontId="65" fillId="0" borderId="0" xfId="0" applyNumberFormat="1" applyFont="1" applyAlignment="1">
      <alignment vertical="center"/>
    </xf>
    <xf numFmtId="2" fontId="65" fillId="39" borderId="0" xfId="0" applyNumberFormat="1" applyFont="1" applyFill="1" applyBorder="1" applyAlignment="1">
      <alignment horizontal="center" vertical="center"/>
    </xf>
    <xf numFmtId="0" fontId="65" fillId="0" borderId="0" xfId="0" applyFont="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35" xfId="0" applyFont="1" applyFill="1" applyBorder="1" applyAlignment="1">
      <alignment horizontal="left" vertical="center"/>
    </xf>
    <xf numFmtId="177" fontId="75" fillId="0" borderId="0" xfId="0" applyNumberFormat="1" applyFont="1" applyFill="1" applyBorder="1" applyAlignment="1">
      <alignment horizontal="center" vertical="center" wrapText="1"/>
    </xf>
    <xf numFmtId="0" fontId="75" fillId="0" borderId="0" xfId="0" applyFont="1" applyFill="1" applyBorder="1" applyAlignment="1">
      <alignment horizontal="left" vertical="top"/>
    </xf>
    <xf numFmtId="44" fontId="5" fillId="0" borderId="0" xfId="59" applyNumberFormat="1" applyFont="1" applyFill="1" applyBorder="1" applyAlignment="1" applyProtection="1">
      <alignment horizontal="center" vertical="center"/>
      <protection/>
    </xf>
    <xf numFmtId="44" fontId="65" fillId="33" borderId="0" xfId="0" applyNumberFormat="1" applyFont="1" applyFill="1" applyBorder="1" applyAlignment="1">
      <alignment vertical="center"/>
    </xf>
    <xf numFmtId="44" fontId="65" fillId="33" borderId="13" xfId="0" applyNumberFormat="1" applyFont="1" applyFill="1" applyBorder="1" applyAlignment="1">
      <alignment vertical="center"/>
    </xf>
    <xf numFmtId="0" fontId="5" fillId="0" borderId="0" xfId="0" applyNumberFormat="1" applyFont="1" applyAlignment="1">
      <alignment horizontal="center" vertical="center"/>
    </xf>
    <xf numFmtId="0" fontId="70" fillId="40" borderId="0" xfId="0" applyFont="1" applyFill="1" applyBorder="1" applyAlignment="1">
      <alignment horizontal="center" vertical="center"/>
    </xf>
    <xf numFmtId="0" fontId="75" fillId="0" borderId="0" xfId="0" applyFont="1" applyFill="1" applyBorder="1" applyAlignment="1">
      <alignment horizontal="center" vertical="top"/>
    </xf>
    <xf numFmtId="178" fontId="75" fillId="0" borderId="0" xfId="0" applyNumberFormat="1" applyFont="1" applyFill="1" applyBorder="1" applyAlignment="1">
      <alignment horizontal="center" vertical="top"/>
    </xf>
    <xf numFmtId="0" fontId="36" fillId="33"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6" xfId="0" applyFont="1" applyBorder="1" applyAlignment="1" applyProtection="1">
      <alignment vertical="center"/>
      <protection/>
    </xf>
    <xf numFmtId="0" fontId="65" fillId="33" borderId="0" xfId="0" applyFont="1" applyFill="1" applyBorder="1" applyAlignment="1" applyProtection="1">
      <alignment vertical="center"/>
      <protection/>
    </xf>
    <xf numFmtId="44" fontId="65" fillId="0" borderId="0" xfId="0" applyNumberFormat="1" applyFont="1" applyFill="1" applyAlignment="1" applyProtection="1">
      <alignment/>
      <protection/>
    </xf>
    <xf numFmtId="44" fontId="65" fillId="0" borderId="0" xfId="0" applyNumberFormat="1" applyFont="1" applyFill="1" applyAlignment="1" applyProtection="1">
      <alignment vertical="center" wrapText="1"/>
      <protection/>
    </xf>
    <xf numFmtId="1" fontId="4" fillId="33" borderId="22" xfId="59" applyNumberFormat="1" applyFont="1" applyFill="1" applyBorder="1" applyAlignment="1" applyProtection="1">
      <alignment horizontal="center" vertical="center"/>
      <protection/>
    </xf>
    <xf numFmtId="1" fontId="5" fillId="33" borderId="13" xfId="59" applyNumberFormat="1" applyFont="1" applyFill="1" applyBorder="1" applyAlignment="1" applyProtection="1">
      <alignment horizontal="left" vertical="center"/>
      <protection/>
    </xf>
    <xf numFmtId="44" fontId="5" fillId="33" borderId="0" xfId="59" applyNumberFormat="1" applyFont="1" applyFill="1" applyBorder="1" applyAlignment="1" applyProtection="1">
      <alignment horizontal="center" vertical="center"/>
      <protection/>
    </xf>
    <xf numFmtId="44" fontId="5" fillId="33" borderId="32" xfId="59" applyNumberFormat="1" applyFont="1" applyFill="1" applyBorder="1" applyAlignment="1" applyProtection="1">
      <alignment horizontal="center" vertical="center"/>
      <protection/>
    </xf>
    <xf numFmtId="0" fontId="65" fillId="33" borderId="13" xfId="0" applyFont="1" applyFill="1" applyBorder="1" applyAlignment="1">
      <alignment horizontal="left" vertical="center"/>
    </xf>
    <xf numFmtId="0" fontId="65" fillId="33" borderId="27" xfId="0" applyFont="1" applyFill="1" applyBorder="1" applyAlignment="1" applyProtection="1">
      <alignment horizontal="left" vertical="center"/>
      <protection/>
    </xf>
    <xf numFmtId="44" fontId="65" fillId="33" borderId="11" xfId="0" applyNumberFormat="1" applyFont="1" applyFill="1" applyBorder="1" applyAlignment="1" applyProtection="1">
      <alignment horizontal="center" vertical="center"/>
      <protection/>
    </xf>
    <xf numFmtId="44" fontId="65" fillId="33" borderId="27" xfId="0" applyNumberFormat="1"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8" fontId="65" fillId="35" borderId="22" xfId="44" applyNumberFormat="1" applyFont="1" applyFill="1" applyBorder="1" applyAlignment="1" applyProtection="1">
      <alignment vertical="center"/>
      <protection locked="0"/>
    </xf>
    <xf numFmtId="0" fontId="65" fillId="0" borderId="0" xfId="0" applyFont="1" applyAlignment="1">
      <alignment/>
    </xf>
    <xf numFmtId="0" fontId="65" fillId="33" borderId="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5" fillId="33" borderId="14" xfId="0" applyFont="1" applyFill="1" applyBorder="1" applyAlignment="1" applyProtection="1">
      <alignment vertical="center"/>
      <protection/>
    </xf>
    <xf numFmtId="0" fontId="66" fillId="33" borderId="11" xfId="0" applyFont="1" applyFill="1" applyBorder="1" applyAlignment="1" applyProtection="1">
      <alignment vertical="center" wrapText="1"/>
      <protection/>
    </xf>
    <xf numFmtId="0" fontId="5" fillId="0" borderId="0" xfId="59" applyFont="1">
      <alignment/>
      <protection/>
    </xf>
    <xf numFmtId="0" fontId="65" fillId="0" borderId="0" xfId="0" applyFont="1" applyAlignment="1">
      <alignment/>
    </xf>
    <xf numFmtId="0" fontId="66" fillId="0" borderId="0" xfId="0" applyFont="1" applyAlignment="1">
      <alignment/>
    </xf>
    <xf numFmtId="0" fontId="5" fillId="33" borderId="23" xfId="59" applyFont="1" applyFill="1" applyBorder="1">
      <alignment/>
      <protection/>
    </xf>
    <xf numFmtId="0" fontId="5" fillId="33" borderId="12" xfId="59" applyFont="1" applyFill="1" applyBorder="1">
      <alignment/>
      <protection/>
    </xf>
    <xf numFmtId="0" fontId="5" fillId="33" borderId="24" xfId="59" applyFont="1" applyFill="1" applyBorder="1">
      <alignment/>
      <protection/>
    </xf>
    <xf numFmtId="0" fontId="5" fillId="33" borderId="20" xfId="59" applyFont="1" applyFill="1" applyBorder="1">
      <alignment/>
      <protection/>
    </xf>
    <xf numFmtId="0" fontId="5" fillId="33" borderId="19" xfId="59" applyFont="1" applyFill="1" applyBorder="1">
      <alignment/>
      <protection/>
    </xf>
    <xf numFmtId="0" fontId="5" fillId="35" borderId="22" xfId="59" applyFont="1" applyFill="1" applyBorder="1">
      <alignment/>
      <protection/>
    </xf>
    <xf numFmtId="0" fontId="5" fillId="33" borderId="0" xfId="59" applyFont="1" applyFill="1" applyAlignment="1" quotePrefix="1">
      <alignment vertical="center"/>
      <protection/>
    </xf>
    <xf numFmtId="0" fontId="5" fillId="33" borderId="0" xfId="59" applyFont="1" applyFill="1" applyAlignment="1">
      <alignment wrapText="1"/>
      <protection/>
    </xf>
    <xf numFmtId="0" fontId="5" fillId="33" borderId="0" xfId="59" applyFont="1" applyFill="1" applyAlignment="1">
      <alignment horizontal="center"/>
      <protection/>
    </xf>
    <xf numFmtId="0" fontId="5" fillId="33" borderId="0" xfId="59" applyFont="1" applyFill="1">
      <alignment/>
      <protection/>
    </xf>
    <xf numFmtId="0" fontId="5" fillId="0" borderId="0" xfId="0" applyFont="1" applyAlignment="1">
      <alignment horizontal="left"/>
    </xf>
    <xf numFmtId="0" fontId="4" fillId="33" borderId="0" xfId="59" applyFont="1" applyFill="1" applyAlignment="1">
      <alignment horizontal="right" vertical="center"/>
      <protection/>
    </xf>
    <xf numFmtId="0" fontId="5" fillId="35" borderId="11" xfId="59" applyFont="1" applyFill="1" applyBorder="1" applyAlignment="1" applyProtection="1">
      <alignment horizontal="left" vertical="center"/>
      <protection locked="0"/>
    </xf>
    <xf numFmtId="0" fontId="66" fillId="0" borderId="0" xfId="0" applyFont="1" applyAlignment="1">
      <alignment horizontal="left" vertical="center"/>
    </xf>
    <xf numFmtId="0" fontId="5" fillId="33" borderId="14" xfId="59" applyFont="1" applyFill="1" applyBorder="1" applyAlignment="1">
      <alignment horizontal="left" vertical="center"/>
      <protection/>
    </xf>
    <xf numFmtId="49" fontId="65" fillId="0" borderId="0" xfId="0" applyNumberFormat="1" applyFont="1" applyAlignment="1">
      <alignment horizontal="left" vertical="center"/>
    </xf>
    <xf numFmtId="0" fontId="4" fillId="33" borderId="0" xfId="59" applyFont="1" applyFill="1" applyAlignment="1" quotePrefix="1">
      <alignment horizontal="left"/>
      <protection/>
    </xf>
    <xf numFmtId="0" fontId="5" fillId="33" borderId="0" xfId="59" applyFont="1" applyFill="1">
      <alignment/>
      <protection/>
    </xf>
    <xf numFmtId="0" fontId="5" fillId="33" borderId="11" xfId="59" applyFont="1" applyFill="1" applyBorder="1">
      <alignment/>
      <protection/>
    </xf>
    <xf numFmtId="0" fontId="5" fillId="33" borderId="0" xfId="59" applyFont="1" applyFill="1" applyAlignment="1" quotePrefix="1">
      <alignment horizontal="left"/>
      <protection/>
    </xf>
    <xf numFmtId="0" fontId="57" fillId="33" borderId="22" xfId="54" applyFill="1" applyBorder="1" applyAlignment="1" applyProtection="1">
      <alignment horizontal="left" vertical="center"/>
      <protection locked="0"/>
    </xf>
    <xf numFmtId="0" fontId="5" fillId="33" borderId="22" xfId="59" applyFont="1" applyFill="1" applyBorder="1" applyAlignment="1">
      <alignment horizontal="left" vertical="center" wrapText="1" indent="1"/>
      <protection/>
    </xf>
    <xf numFmtId="0" fontId="76" fillId="0" borderId="0" xfId="0" applyFont="1" applyAlignment="1">
      <alignment/>
    </xf>
    <xf numFmtId="0" fontId="5" fillId="0" borderId="0" xfId="59" applyFont="1" applyAlignment="1">
      <alignment vertical="center"/>
      <protection/>
    </xf>
    <xf numFmtId="0" fontId="5" fillId="33" borderId="20" xfId="59" applyFont="1" applyFill="1" applyBorder="1" applyAlignment="1">
      <alignment vertical="center"/>
      <protection/>
    </xf>
    <xf numFmtId="0" fontId="5" fillId="33" borderId="0" xfId="59" applyFont="1" applyFill="1" applyAlignment="1" quotePrefix="1">
      <alignment horizontal="left" vertical="center"/>
      <protection/>
    </xf>
    <xf numFmtId="0" fontId="5" fillId="33" borderId="19" xfId="59" applyFont="1" applyFill="1" applyBorder="1" applyAlignment="1">
      <alignment vertical="center"/>
      <protection/>
    </xf>
    <xf numFmtId="0" fontId="65" fillId="0" borderId="0" xfId="0" applyFont="1" applyAlignment="1">
      <alignment vertical="center"/>
    </xf>
    <xf numFmtId="0" fontId="5" fillId="0" borderId="0" xfId="0" applyFont="1" applyAlignment="1">
      <alignment horizontal="left" vertical="center"/>
    </xf>
    <xf numFmtId="0" fontId="5" fillId="33" borderId="0" xfId="59" applyFont="1" applyFill="1" applyAlignment="1">
      <alignment vertical="center"/>
      <protection/>
    </xf>
    <xf numFmtId="0" fontId="67" fillId="33" borderId="22" xfId="54" applyFont="1" applyFill="1" applyBorder="1" applyAlignment="1" applyProtection="1">
      <alignment horizontal="left" vertical="center"/>
      <protection locked="0"/>
    </xf>
    <xf numFmtId="0" fontId="5" fillId="33" borderId="0" xfId="59" applyFont="1" applyFill="1" applyAlignment="1" quotePrefix="1">
      <alignment horizontal="left" vertical="top" wrapText="1"/>
      <protection/>
    </xf>
    <xf numFmtId="0" fontId="5" fillId="33" borderId="28" xfId="59" applyFont="1" applyFill="1" applyBorder="1">
      <alignment/>
      <protection/>
    </xf>
    <xf numFmtId="0" fontId="5" fillId="33" borderId="29" xfId="59" applyFont="1" applyFill="1" applyBorder="1" applyAlignment="1">
      <alignment wrapText="1"/>
      <protection/>
    </xf>
    <xf numFmtId="0" fontId="5" fillId="33" borderId="29" xfId="59" applyFont="1" applyFill="1" applyBorder="1">
      <alignment/>
      <protection/>
    </xf>
    <xf numFmtId="0" fontId="5" fillId="33" borderId="30" xfId="59" applyFont="1" applyFill="1" applyBorder="1" applyAlignment="1">
      <alignment horizontal="right"/>
      <protection/>
    </xf>
    <xf numFmtId="0" fontId="5" fillId="0" borderId="0" xfId="59" applyFont="1" applyAlignment="1">
      <alignment horizontal="right"/>
      <protection/>
    </xf>
    <xf numFmtId="0" fontId="65" fillId="0" borderId="0" xfId="0" applyFont="1" applyAlignment="1">
      <alignment horizontal="center" vertical="center"/>
    </xf>
    <xf numFmtId="0" fontId="4" fillId="33" borderId="10" xfId="59" applyFont="1" applyFill="1" applyBorder="1" applyAlignment="1">
      <alignment horizontal="center" vertical="center"/>
      <protection/>
    </xf>
    <xf numFmtId="0" fontId="65" fillId="33" borderId="20" xfId="0" applyFont="1" applyFill="1" applyBorder="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19" xfId="0" applyFont="1" applyFill="1" applyBorder="1" applyAlignment="1">
      <alignment/>
    </xf>
    <xf numFmtId="0" fontId="65" fillId="33" borderId="18" xfId="0" applyFont="1" applyFill="1" applyBorder="1" applyAlignment="1" applyProtection="1">
      <alignment/>
      <protection/>
    </xf>
    <xf numFmtId="0" fontId="5" fillId="33" borderId="27" xfId="59" applyFont="1" applyFill="1" applyBorder="1" applyAlignment="1" applyProtection="1">
      <alignment horizontal="center" vertical="center"/>
      <protection/>
    </xf>
    <xf numFmtId="44" fontId="65" fillId="0" borderId="25" xfId="0" applyNumberFormat="1" applyFont="1" applyFill="1" applyBorder="1" applyAlignment="1" applyProtection="1">
      <alignment/>
      <protection/>
    </xf>
    <xf numFmtId="0" fontId="68" fillId="33" borderId="0" xfId="59" applyFont="1" applyFill="1" applyBorder="1" applyAlignment="1" applyProtection="1">
      <alignment horizontal="left" vertical="center"/>
      <protection/>
    </xf>
    <xf numFmtId="0" fontId="65" fillId="33" borderId="16" xfId="0" applyFont="1" applyFill="1" applyBorder="1" applyAlignment="1">
      <alignment/>
    </xf>
    <xf numFmtId="1" fontId="5" fillId="33" borderId="26" xfId="59" applyNumberFormat="1" applyFont="1" applyFill="1" applyBorder="1" applyAlignment="1">
      <alignment horizontal="center" vertical="center"/>
      <protection/>
    </xf>
    <xf numFmtId="167" fontId="5" fillId="34" borderId="22" xfId="0" applyNumberFormat="1" applyFont="1" applyFill="1" applyBorder="1" applyAlignment="1" applyProtection="1">
      <alignment horizontal="center" vertical="center"/>
      <protection locked="0"/>
    </xf>
    <xf numFmtId="0" fontId="5" fillId="34" borderId="22" xfId="0" applyFont="1" applyFill="1" applyBorder="1" applyAlignment="1" applyProtection="1">
      <alignment vertical="center" shrinkToFit="1"/>
      <protection locked="0"/>
    </xf>
    <xf numFmtId="0" fontId="5" fillId="34" borderId="27" xfId="0" applyFont="1" applyFill="1" applyBorder="1" applyAlignment="1" applyProtection="1">
      <alignment vertical="center" shrinkToFit="1"/>
      <protection locked="0"/>
    </xf>
    <xf numFmtId="0" fontId="5" fillId="34" borderId="22" xfId="0" applyFont="1" applyFill="1" applyBorder="1" applyAlignment="1" applyProtection="1">
      <alignment horizontal="left" vertical="center" shrinkToFit="1"/>
      <protection locked="0"/>
    </xf>
    <xf numFmtId="44" fontId="5" fillId="34" borderId="22" xfId="0" applyNumberFormat="1" applyFont="1" applyFill="1" applyBorder="1" applyAlignment="1" applyProtection="1">
      <alignment horizontal="center" vertical="center"/>
      <protection locked="0"/>
    </xf>
    <xf numFmtId="1" fontId="5" fillId="33" borderId="17" xfId="0" applyNumberFormat="1" applyFont="1" applyFill="1" applyBorder="1" applyAlignment="1" applyProtection="1">
      <alignment horizontal="center" vertical="center"/>
      <protection/>
    </xf>
    <xf numFmtId="44" fontId="5" fillId="33" borderId="31"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xf>
    <xf numFmtId="0" fontId="5" fillId="0" borderId="0" xfId="0" applyFont="1" applyAlignment="1">
      <alignment/>
    </xf>
    <xf numFmtId="0" fontId="5" fillId="33" borderId="20" xfId="0" applyFont="1" applyFill="1" applyBorder="1" applyAlignment="1">
      <alignment vertical="center"/>
    </xf>
    <xf numFmtId="0" fontId="5" fillId="33" borderId="0" xfId="0" applyFont="1" applyFill="1" applyAlignment="1">
      <alignment vertical="center"/>
    </xf>
    <xf numFmtId="0" fontId="5" fillId="33" borderId="19" xfId="0" applyFont="1" applyFill="1" applyBorder="1" applyAlignment="1">
      <alignment vertical="center"/>
    </xf>
    <xf numFmtId="0" fontId="65" fillId="33" borderId="20" xfId="0" applyFont="1" applyFill="1" applyBorder="1" applyAlignment="1">
      <alignment vertical="center"/>
    </xf>
    <xf numFmtId="0" fontId="66" fillId="33" borderId="0" xfId="0" applyFont="1" applyFill="1" applyAlignment="1">
      <alignment horizontal="center" vertical="center"/>
    </xf>
    <xf numFmtId="49" fontId="77" fillId="33" borderId="15" xfId="0" applyNumberFormat="1" applyFont="1" applyFill="1" applyBorder="1" applyAlignment="1">
      <alignment vertical="center"/>
    </xf>
    <xf numFmtId="0" fontId="65" fillId="33" borderId="10" xfId="0" applyFont="1" applyFill="1" applyBorder="1" applyAlignment="1">
      <alignment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0" xfId="0" applyFont="1" applyFill="1" applyAlignment="1">
      <alignment horizontal="center" vertical="center" wrapText="1"/>
    </xf>
    <xf numFmtId="0" fontId="65" fillId="33" borderId="19" xfId="0" applyFont="1" applyFill="1" applyBorder="1" applyAlignment="1">
      <alignment vertical="center"/>
    </xf>
    <xf numFmtId="0" fontId="65" fillId="0" borderId="0" xfId="0" applyFont="1" applyAlignment="1">
      <alignment vertical="center" wrapText="1"/>
    </xf>
    <xf numFmtId="0" fontId="5" fillId="33" borderId="27" xfId="0" applyFont="1" applyFill="1" applyBorder="1" applyAlignment="1">
      <alignment horizontal="center" vertical="center" wrapText="1"/>
    </xf>
    <xf numFmtId="0" fontId="66" fillId="33" borderId="16" xfId="0" applyFont="1" applyFill="1" applyBorder="1" applyAlignment="1">
      <alignment horizontal="center" vertical="center"/>
    </xf>
    <xf numFmtId="0" fontId="66" fillId="0" borderId="13" xfId="0" applyFont="1" applyBorder="1" applyAlignment="1">
      <alignment horizontal="center" vertical="center"/>
    </xf>
    <xf numFmtId="0" fontId="68" fillId="35" borderId="22" xfId="0" applyFont="1" applyFill="1" applyBorder="1" applyAlignment="1" applyProtection="1">
      <alignment vertical="center" shrinkToFit="1"/>
      <protection locked="0"/>
    </xf>
    <xf numFmtId="0" fontId="68" fillId="35" borderId="27" xfId="0" applyFont="1" applyFill="1" applyBorder="1" applyAlignment="1" applyProtection="1">
      <alignment vertical="center" shrinkToFit="1"/>
      <protection locked="0"/>
    </xf>
    <xf numFmtId="49" fontId="68" fillId="35" borderId="22" xfId="0" applyNumberFormat="1" applyFont="1" applyFill="1" applyBorder="1" applyAlignment="1" applyProtection="1">
      <alignment horizontal="left" vertical="center" wrapText="1"/>
      <protection locked="0"/>
    </xf>
    <xf numFmtId="0" fontId="71" fillId="35" borderId="26" xfId="0" applyFont="1" applyFill="1" applyBorder="1" applyAlignment="1" applyProtection="1">
      <alignment vertical="center" shrinkToFit="1"/>
      <protection locked="0"/>
    </xf>
    <xf numFmtId="4" fontId="68" fillId="35" borderId="22" xfId="0" applyNumberFormat="1" applyFont="1" applyFill="1" applyBorder="1" applyAlignment="1" applyProtection="1">
      <alignment vertical="center" shrinkToFit="1"/>
      <protection locked="0"/>
    </xf>
    <xf numFmtId="44" fontId="68" fillId="33" borderId="26" xfId="0" applyNumberFormat="1" applyFont="1" applyFill="1" applyBorder="1" applyAlignment="1" applyProtection="1">
      <alignment vertical="center"/>
      <protection/>
    </xf>
    <xf numFmtId="8" fontId="65" fillId="33" borderId="14" xfId="0" applyNumberFormat="1" applyFont="1" applyFill="1" applyBorder="1" applyAlignment="1" applyProtection="1">
      <alignment vertical="center"/>
      <protection/>
    </xf>
    <xf numFmtId="49" fontId="65" fillId="33" borderId="16" xfId="0" applyNumberFormat="1" applyFont="1" applyFill="1" applyBorder="1" applyAlignment="1" applyProtection="1">
      <alignment vertical="center" wrapText="1"/>
      <protection/>
    </xf>
    <xf numFmtId="44" fontId="66" fillId="33" borderId="27" xfId="44" applyNumberFormat="1" applyFont="1" applyFill="1" applyBorder="1" applyAlignment="1" applyProtection="1">
      <alignment vertical="center"/>
      <protection/>
    </xf>
    <xf numFmtId="44" fontId="65" fillId="33" borderId="14" xfId="44" applyNumberFormat="1" applyFont="1" applyFill="1" applyBorder="1" applyAlignment="1" applyProtection="1">
      <alignment vertical="center"/>
      <protection locked="0"/>
    </xf>
    <xf numFmtId="0" fontId="65" fillId="33" borderId="10" xfId="0" applyFont="1" applyFill="1" applyBorder="1" applyAlignment="1" applyProtection="1">
      <alignment vertical="center" wrapText="1"/>
      <protection/>
    </xf>
    <xf numFmtId="0" fontId="65" fillId="33" borderId="20" xfId="0" applyFont="1" applyFill="1" applyBorder="1" applyAlignment="1">
      <alignment/>
    </xf>
    <xf numFmtId="0" fontId="66" fillId="33" borderId="10" xfId="0" applyFont="1" applyFill="1" applyBorder="1" applyAlignment="1">
      <alignment vertical="center"/>
    </xf>
    <xf numFmtId="0" fontId="65" fillId="33" borderId="0" xfId="0" applyFont="1" applyFill="1" applyAlignment="1">
      <alignment/>
    </xf>
    <xf numFmtId="0" fontId="65" fillId="33" borderId="19" xfId="0" applyFont="1" applyFill="1" applyBorder="1" applyAlignment="1">
      <alignment/>
    </xf>
    <xf numFmtId="0" fontId="71" fillId="33" borderId="0" xfId="0" applyFont="1" applyFill="1" applyAlignment="1">
      <alignment vertical="center"/>
    </xf>
    <xf numFmtId="0" fontId="4" fillId="0" borderId="0" xfId="0" applyFont="1" applyAlignment="1">
      <alignment horizontal="left" vertical="center"/>
    </xf>
    <xf numFmtId="0" fontId="65" fillId="0" borderId="0" xfId="0" applyFont="1" applyAlignment="1">
      <alignment horizontal="left" vertical="center"/>
    </xf>
    <xf numFmtId="0" fontId="65" fillId="33" borderId="0" xfId="0" applyFont="1" applyFill="1" applyAlignment="1">
      <alignment vertical="center"/>
    </xf>
    <xf numFmtId="0" fontId="5" fillId="0" borderId="0" xfId="0" applyFont="1" applyAlignment="1">
      <alignment vertical="center"/>
    </xf>
    <xf numFmtId="0" fontId="65" fillId="33" borderId="0" xfId="0" applyFont="1" applyFill="1" applyAlignment="1">
      <alignment horizontal="center" vertical="center"/>
    </xf>
    <xf numFmtId="49" fontId="65" fillId="33" borderId="0" xfId="0" applyNumberFormat="1" applyFont="1" applyFill="1" applyAlignment="1">
      <alignment vertical="center"/>
    </xf>
    <xf numFmtId="0" fontId="65" fillId="33" borderId="28" xfId="0" applyFont="1" applyFill="1" applyBorder="1" applyAlignment="1">
      <alignment vertical="center"/>
    </xf>
    <xf numFmtId="0" fontId="66" fillId="33" borderId="29" xfId="0" applyFont="1" applyFill="1" applyBorder="1" applyAlignment="1">
      <alignment horizontal="center" vertical="center"/>
    </xf>
    <xf numFmtId="49" fontId="65" fillId="33" borderId="29" xfId="0" applyNumberFormat="1" applyFont="1" applyFill="1" applyBorder="1" applyAlignment="1">
      <alignment vertical="center"/>
    </xf>
    <xf numFmtId="0" fontId="65" fillId="33" borderId="29" xfId="0" applyFont="1" applyFill="1" applyBorder="1" applyAlignment="1">
      <alignment vertical="center"/>
    </xf>
    <xf numFmtId="0" fontId="71" fillId="33" borderId="29" xfId="0" applyFont="1" applyFill="1" applyBorder="1" applyAlignment="1">
      <alignment vertical="center"/>
    </xf>
    <xf numFmtId="0" fontId="65" fillId="33" borderId="30" xfId="0" applyFont="1" applyFill="1" applyBorder="1" applyAlignment="1">
      <alignment vertical="center"/>
    </xf>
    <xf numFmtId="0" fontId="65" fillId="33" borderId="11" xfId="0" applyFont="1" applyFill="1" applyBorder="1" applyAlignment="1" applyProtection="1">
      <alignment vertical="center" wrapText="1"/>
      <protection/>
    </xf>
    <xf numFmtId="0" fontId="66" fillId="33" borderId="11" xfId="0" applyFont="1" applyFill="1" applyBorder="1" applyAlignment="1" applyProtection="1">
      <alignment vertical="center" wrapText="1"/>
      <protection/>
    </xf>
    <xf numFmtId="0" fontId="65" fillId="33" borderId="21" xfId="0" applyFont="1" applyFill="1" applyBorder="1" applyAlignment="1" applyProtection="1">
      <alignment vertical="center" wrapText="1"/>
      <protection/>
    </xf>
    <xf numFmtId="0" fontId="78" fillId="33" borderId="0" xfId="0" applyFont="1" applyFill="1" applyAlignment="1" applyProtection="1">
      <alignment shrinkToFit="1"/>
      <protection/>
    </xf>
    <xf numFmtId="0" fontId="68" fillId="33" borderId="13" xfId="0" applyFont="1" applyFill="1" applyBorder="1" applyAlignment="1" applyProtection="1">
      <alignment vertical="center" shrinkToFit="1"/>
      <protection/>
    </xf>
    <xf numFmtId="0" fontId="68" fillId="0" borderId="0" xfId="0" applyFont="1" applyAlignment="1" applyProtection="1">
      <alignment vertical="center"/>
      <protection/>
    </xf>
    <xf numFmtId="0" fontId="68" fillId="33" borderId="13" xfId="0" applyFont="1" applyFill="1" applyBorder="1" applyAlignment="1" applyProtection="1">
      <alignment vertical="center"/>
      <protection/>
    </xf>
    <xf numFmtId="0" fontId="78" fillId="0" borderId="0" xfId="0" applyFont="1" applyAlignment="1">
      <alignment/>
    </xf>
    <xf numFmtId="0" fontId="65" fillId="35" borderId="22" xfId="0" applyFont="1" applyFill="1" applyBorder="1" applyAlignment="1" applyProtection="1">
      <alignment horizontal="center" vertical="center"/>
      <protection locked="0"/>
    </xf>
    <xf numFmtId="0" fontId="65" fillId="35" borderId="36" xfId="0" applyFont="1" applyFill="1" applyBorder="1" applyAlignment="1" applyProtection="1">
      <alignment horizontal="center" vertical="center"/>
      <protection locked="0"/>
    </xf>
    <xf numFmtId="8" fontId="75" fillId="0" borderId="0" xfId="0" applyNumberFormat="1" applyFont="1" applyAlignment="1">
      <alignment/>
    </xf>
    <xf numFmtId="8" fontId="65" fillId="0" borderId="0" xfId="0" applyNumberFormat="1" applyFont="1" applyAlignment="1">
      <alignment/>
    </xf>
    <xf numFmtId="0" fontId="3" fillId="33" borderId="0" xfId="59" applyFont="1" applyFill="1" applyAlignment="1">
      <alignment horizontal="center" vertical="center"/>
      <protection/>
    </xf>
    <xf numFmtId="0" fontId="79" fillId="33" borderId="0" xfId="0" applyFont="1" applyFill="1" applyAlignment="1">
      <alignment horizontal="center" vertical="center"/>
    </xf>
    <xf numFmtId="0" fontId="5" fillId="0" borderId="0" xfId="0" applyFont="1" applyAlignment="1">
      <alignment horizontal="left" vertical="center" wrapText="1"/>
    </xf>
    <xf numFmtId="0" fontId="74"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11" fillId="33" borderId="15" xfId="0" applyFont="1" applyFill="1" applyBorder="1" applyAlignment="1">
      <alignment vertical="top" wrapText="1"/>
    </xf>
    <xf numFmtId="0" fontId="11" fillId="33" borderId="10" xfId="0" applyFont="1" applyFill="1" applyBorder="1" applyAlignment="1">
      <alignment vertical="top" wrapText="1"/>
    </xf>
    <xf numFmtId="0" fontId="65" fillId="0" borderId="10" xfId="0" applyFont="1" applyBorder="1" applyAlignment="1">
      <alignment vertical="top" wrapText="1"/>
    </xf>
    <xf numFmtId="0" fontId="65" fillId="0" borderId="25" xfId="0" applyFont="1" applyBorder="1" applyAlignment="1">
      <alignment vertical="top" wrapText="1"/>
    </xf>
    <xf numFmtId="0" fontId="65" fillId="0" borderId="16" xfId="0" applyFont="1" applyBorder="1" applyAlignment="1">
      <alignment vertical="top" wrapText="1"/>
    </xf>
    <xf numFmtId="0" fontId="65" fillId="0" borderId="0" xfId="0" applyFont="1" applyAlignment="1">
      <alignment vertical="top" wrapText="1"/>
    </xf>
    <xf numFmtId="0" fontId="65" fillId="0" borderId="26" xfId="0" applyFont="1" applyBorder="1" applyAlignment="1">
      <alignment vertical="top" wrapText="1"/>
    </xf>
    <xf numFmtId="0" fontId="65" fillId="0" borderId="17" xfId="0" applyFont="1" applyBorder="1" applyAlignment="1">
      <alignment vertical="top" wrapText="1"/>
    </xf>
    <xf numFmtId="0" fontId="65" fillId="0" borderId="11" xfId="0" applyFont="1" applyBorder="1" applyAlignment="1">
      <alignment vertical="top" wrapText="1"/>
    </xf>
    <xf numFmtId="0" fontId="65" fillId="0" borderId="21" xfId="0" applyFont="1" applyBorder="1" applyAlignment="1">
      <alignment vertical="top" wrapText="1"/>
    </xf>
    <xf numFmtId="0" fontId="65" fillId="33" borderId="23" xfId="0" applyFont="1" applyFill="1" applyBorder="1" applyAlignment="1">
      <alignment vertical="center" wrapText="1"/>
    </xf>
    <xf numFmtId="0" fontId="65" fillId="33" borderId="12" xfId="0" applyFont="1" applyFill="1"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63" fillId="33" borderId="29" xfId="0" applyFont="1" applyFill="1" applyBorder="1" applyAlignment="1">
      <alignment horizontal="center" vertical="center"/>
    </xf>
    <xf numFmtId="0" fontId="0" fillId="0" borderId="29" xfId="0" applyBorder="1" applyAlignment="1">
      <alignment horizontal="center" vertical="center"/>
    </xf>
    <xf numFmtId="0" fontId="44" fillId="33" borderId="15" xfId="0" applyFont="1" applyFill="1" applyBorder="1" applyAlignment="1">
      <alignment horizontal="center" wrapText="1"/>
    </xf>
    <xf numFmtId="0" fontId="0" fillId="0" borderId="10" xfId="0" applyBorder="1" applyAlignment="1">
      <alignment horizontal="center"/>
    </xf>
    <xf numFmtId="0" fontId="0" fillId="0" borderId="25" xfId="0" applyBorder="1" applyAlignment="1">
      <alignment horizontal="center"/>
    </xf>
    <xf numFmtId="0" fontId="65" fillId="0" borderId="16" xfId="0" applyFont="1" applyBorder="1" applyAlignment="1">
      <alignment vertical="center" wrapText="1"/>
    </xf>
    <xf numFmtId="0" fontId="0" fillId="0" borderId="0" xfId="0"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5" fontId="4" fillId="0" borderId="18" xfId="0" applyNumberFormat="1" applyFont="1" applyBorder="1" applyAlignment="1" applyProtection="1">
      <alignment horizontal="center" vertical="center"/>
      <protection/>
    </xf>
    <xf numFmtId="0" fontId="34" fillId="0" borderId="14" xfId="0" applyFont="1" applyBorder="1" applyAlignment="1" applyProtection="1">
      <alignment horizontal="center" vertical="center"/>
      <protection/>
    </xf>
    <xf numFmtId="0" fontId="34" fillId="0" borderId="31" xfId="0" applyFont="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25"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74" fillId="33" borderId="1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5" xfId="0" applyBorder="1" applyAlignment="1">
      <alignment horizontal="center" vertical="center"/>
    </xf>
    <xf numFmtId="49" fontId="66" fillId="33" borderId="17" xfId="0" applyNumberFormat="1" applyFont="1" applyFill="1" applyBorder="1" applyAlignment="1" applyProtection="1">
      <alignment vertical="center"/>
      <protection/>
    </xf>
    <xf numFmtId="0" fontId="66" fillId="33" borderId="21" xfId="0" applyFont="1" applyFill="1" applyBorder="1" applyAlignment="1" applyProtection="1">
      <alignment vertical="center"/>
      <protection/>
    </xf>
    <xf numFmtId="49" fontId="65" fillId="33" borderId="18" xfId="0" applyNumberFormat="1" applyFont="1" applyFill="1" applyBorder="1" applyAlignment="1">
      <alignment vertical="center"/>
    </xf>
    <xf numFmtId="0" fontId="65" fillId="33" borderId="31" xfId="0" applyFont="1" applyFill="1" applyBorder="1" applyAlignment="1">
      <alignment vertical="center"/>
    </xf>
    <xf numFmtId="49" fontId="65" fillId="33" borderId="18" xfId="0" applyNumberFormat="1" applyFont="1" applyFill="1" applyBorder="1" applyAlignment="1" applyProtection="1">
      <alignment vertical="center"/>
      <protection/>
    </xf>
    <xf numFmtId="0" fontId="65" fillId="33" borderId="31" xfId="0" applyFont="1" applyFill="1" applyBorder="1" applyAlignment="1" applyProtection="1">
      <alignment vertical="center"/>
      <protection/>
    </xf>
    <xf numFmtId="0" fontId="68" fillId="33" borderId="11" xfId="0" applyFont="1" applyFill="1" applyBorder="1" applyAlignment="1" applyProtection="1">
      <alignment vertical="center" wrapText="1"/>
      <protection/>
    </xf>
    <xf numFmtId="0" fontId="65" fillId="33" borderId="11" xfId="0" applyFont="1" applyFill="1" applyBorder="1" applyAlignment="1" applyProtection="1">
      <alignment vertical="center" wrapText="1"/>
      <protection/>
    </xf>
    <xf numFmtId="49" fontId="65" fillId="33" borderId="31" xfId="0" applyNumberFormat="1" applyFont="1" applyFill="1" applyBorder="1" applyAlignment="1" applyProtection="1">
      <alignment vertical="center"/>
      <protection/>
    </xf>
    <xf numFmtId="49" fontId="65" fillId="0" borderId="18" xfId="0" applyNumberFormat="1" applyFont="1" applyBorder="1" applyAlignment="1">
      <alignment vertical="center"/>
    </xf>
    <xf numFmtId="0" fontId="0" fillId="0" borderId="31" xfId="0" applyBorder="1" applyAlignment="1">
      <alignment vertical="center"/>
    </xf>
    <xf numFmtId="49" fontId="65" fillId="33" borderId="15" xfId="0" applyNumberFormat="1" applyFont="1" applyFill="1" applyBorder="1" applyAlignment="1" applyProtection="1">
      <alignment vertical="center"/>
      <protection/>
    </xf>
    <xf numFmtId="0" fontId="65" fillId="33" borderId="10" xfId="0" applyFont="1" applyFill="1" applyBorder="1" applyAlignment="1" applyProtection="1">
      <alignment vertical="center"/>
      <protection/>
    </xf>
    <xf numFmtId="49" fontId="66" fillId="33" borderId="16" xfId="0" applyNumberFormat="1" applyFont="1" applyFill="1" applyBorder="1" applyAlignment="1" applyProtection="1">
      <alignment horizontal="right" vertical="center"/>
      <protection/>
    </xf>
    <xf numFmtId="0" fontId="66" fillId="33" borderId="0" xfId="0" applyFont="1" applyFill="1" applyBorder="1" applyAlignment="1" applyProtection="1">
      <alignment horizontal="right" vertical="center"/>
      <protection/>
    </xf>
    <xf numFmtId="49" fontId="65" fillId="33" borderId="17"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49" fontId="66" fillId="33" borderId="18" xfId="0" applyNumberFormat="1" applyFont="1" applyFill="1" applyBorder="1" applyAlignment="1" applyProtection="1">
      <alignment vertical="center"/>
      <protection/>
    </xf>
    <xf numFmtId="0" fontId="66" fillId="33" borderId="31" xfId="0" applyFont="1" applyFill="1" applyBorder="1" applyAlignment="1" applyProtection="1">
      <alignment vertical="center"/>
      <protection/>
    </xf>
    <xf numFmtId="0" fontId="65" fillId="33" borderId="0" xfId="0" applyFont="1" applyFill="1" applyAlignment="1">
      <alignment vertical="center" wrapText="1"/>
    </xf>
    <xf numFmtId="49" fontId="65" fillId="33" borderId="0" xfId="0" applyNumberFormat="1" applyFont="1" applyFill="1" applyAlignment="1">
      <alignment vertical="center" wrapText="1"/>
    </xf>
    <xf numFmtId="0" fontId="66" fillId="33" borderId="26" xfId="0" applyFont="1" applyFill="1" applyBorder="1" applyAlignment="1" applyProtection="1">
      <alignment horizontal="right" vertical="center"/>
      <protection/>
    </xf>
    <xf numFmtId="49" fontId="65" fillId="33" borderId="16"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49" fontId="70" fillId="38" borderId="15" xfId="0" applyNumberFormat="1" applyFont="1" applyFill="1" applyBorder="1" applyAlignment="1" applyProtection="1">
      <alignment horizontal="center" vertical="center"/>
      <protection/>
    </xf>
    <xf numFmtId="0" fontId="70" fillId="38"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0" fontId="0" fillId="0" borderId="21" xfId="0" applyBorder="1" applyAlignment="1" applyProtection="1">
      <alignment vertical="center"/>
      <protection/>
    </xf>
    <xf numFmtId="49" fontId="66" fillId="33" borderId="18" xfId="0" applyNumberFormat="1" applyFont="1" applyFill="1" applyBorder="1" applyAlignment="1">
      <alignment vertical="center"/>
    </xf>
    <xf numFmtId="0" fontId="66" fillId="33" borderId="31" xfId="0" applyFont="1" applyFill="1" applyBorder="1" applyAlignment="1">
      <alignment vertical="center"/>
    </xf>
    <xf numFmtId="49" fontId="65" fillId="33" borderId="18" xfId="0" applyNumberFormat="1" applyFont="1" applyFill="1" applyBorder="1" applyAlignment="1">
      <alignment vertical="center" wrapText="1"/>
    </xf>
    <xf numFmtId="0" fontId="65" fillId="33" borderId="31" xfId="0" applyFont="1" applyFill="1" applyBorder="1" applyAlignment="1">
      <alignment vertical="center" wrapText="1"/>
    </xf>
    <xf numFmtId="49" fontId="65" fillId="33" borderId="18" xfId="0" applyNumberFormat="1" applyFont="1" applyFill="1" applyBorder="1" applyAlignment="1" applyProtection="1">
      <alignment vertical="center" wrapText="1"/>
      <protection/>
    </xf>
    <xf numFmtId="0" fontId="65" fillId="33" borderId="31" xfId="0" applyFont="1" applyFill="1" applyBorder="1" applyAlignment="1" applyProtection="1">
      <alignment vertical="center" wrapText="1"/>
      <protection/>
    </xf>
    <xf numFmtId="0" fontId="4" fillId="0" borderId="0" xfId="0" applyFont="1" applyAlignment="1">
      <alignment horizontal="center" vertical="center"/>
    </xf>
    <xf numFmtId="0" fontId="79" fillId="0" borderId="12" xfId="0" applyFont="1" applyBorder="1" applyAlignment="1">
      <alignment horizontal="center" vertical="center"/>
    </xf>
    <xf numFmtId="49" fontId="70" fillId="38" borderId="32" xfId="0" applyNumberFormat="1" applyFont="1" applyFill="1" applyBorder="1" applyAlignment="1" applyProtection="1">
      <alignment horizontal="center" vertical="center"/>
      <protection/>
    </xf>
    <xf numFmtId="0" fontId="70" fillId="38" borderId="32"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66" fillId="33" borderId="32" xfId="0" applyFont="1" applyFill="1" applyBorder="1" applyAlignment="1" applyProtection="1">
      <alignment horizontal="center" vertical="center"/>
      <protection/>
    </xf>
    <xf numFmtId="0" fontId="0" fillId="0" borderId="27" xfId="0" applyBorder="1" applyAlignment="1" applyProtection="1">
      <alignment vertical="center"/>
      <protection/>
    </xf>
    <xf numFmtId="0" fontId="4" fillId="33" borderId="32" xfId="0" applyFont="1" applyFill="1" applyBorder="1" applyAlignment="1" applyProtection="1">
      <alignment horizontal="center" vertical="center"/>
      <protection/>
    </xf>
    <xf numFmtId="49" fontId="65" fillId="33" borderId="17" xfId="0"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77" fillId="0" borderId="0" xfId="0" applyFont="1" applyAlignment="1">
      <alignment horizontal="center" vertical="center"/>
    </xf>
    <xf numFmtId="0" fontId="65" fillId="0" borderId="0" xfId="0" applyFont="1" applyAlignment="1">
      <alignment horizontal="center" vertical="center"/>
    </xf>
    <xf numFmtId="0" fontId="80" fillId="0" borderId="0" xfId="0" applyFont="1" applyBorder="1" applyAlignment="1">
      <alignment horizontal="center" vertical="center" wrapText="1"/>
    </xf>
    <xf numFmtId="0" fontId="81" fillId="0" borderId="0" xfId="0" applyFont="1" applyBorder="1" applyAlignment="1">
      <alignment vertical="center"/>
    </xf>
    <xf numFmtId="0" fontId="7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2">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2" displayName="Table2" ref="C17:G307" comment="" totalsRowShown="0">
  <autoFilter ref="C17:G307"/>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tabColor theme="0" tint="-0.4999699890613556"/>
  </sheetPr>
  <dimension ref="A1:T25"/>
  <sheetViews>
    <sheetView tabSelected="1" zoomScalePageLayoutView="0" workbookViewId="0" topLeftCell="A1">
      <selection activeCell="E6" sqref="E6"/>
    </sheetView>
  </sheetViews>
  <sheetFormatPr defaultColWidth="11.421875" defaultRowHeight="15"/>
  <cols>
    <col min="1" max="3" width="3.00390625" style="338" customWidth="1"/>
    <col min="4" max="4" width="30.7109375" style="338" customWidth="1"/>
    <col min="5" max="5" width="59.7109375" style="338" customWidth="1"/>
    <col min="6" max="7" width="3.00390625" style="338" customWidth="1"/>
    <col min="8" max="16384" width="11.421875" style="338" customWidth="1"/>
  </cols>
  <sheetData>
    <row r="1" spans="1:9" ht="15" customHeight="1" thickBot="1">
      <c r="A1" s="337"/>
      <c r="B1" s="337"/>
      <c r="C1" s="337"/>
      <c r="D1" s="337"/>
      <c r="E1" s="337"/>
      <c r="F1" s="337"/>
      <c r="G1" s="337"/>
      <c r="I1" s="339"/>
    </row>
    <row r="2" spans="1:7" ht="15" customHeight="1">
      <c r="A2" s="337"/>
      <c r="B2" s="340"/>
      <c r="C2" s="341"/>
      <c r="D2" s="341"/>
      <c r="E2" s="341"/>
      <c r="F2" s="342"/>
      <c r="G2" s="337"/>
    </row>
    <row r="3" spans="1:7" ht="18.75">
      <c r="A3" s="337"/>
      <c r="B3" s="343"/>
      <c r="C3" s="453" t="s">
        <v>480</v>
      </c>
      <c r="D3" s="454"/>
      <c r="E3" s="454"/>
      <c r="F3" s="344"/>
      <c r="G3" s="337"/>
    </row>
    <row r="4" spans="1:7" ht="15" customHeight="1">
      <c r="A4" s="337"/>
      <c r="B4" s="343"/>
      <c r="C4" s="345"/>
      <c r="D4" s="346" t="s">
        <v>95</v>
      </c>
      <c r="E4" s="347"/>
      <c r="F4" s="344"/>
      <c r="G4" s="337"/>
    </row>
    <row r="5" spans="1:9" ht="15" customHeight="1">
      <c r="A5" s="337"/>
      <c r="B5" s="343"/>
      <c r="C5" s="348"/>
      <c r="D5" s="348"/>
      <c r="E5" s="349"/>
      <c r="F5" s="344"/>
      <c r="G5" s="337"/>
      <c r="I5" s="350"/>
    </row>
    <row r="6" spans="1:9" ht="15" customHeight="1">
      <c r="A6" s="337"/>
      <c r="B6" s="343"/>
      <c r="C6" s="348"/>
      <c r="D6" s="351" t="s">
        <v>76</v>
      </c>
      <c r="E6" s="352" t="s">
        <v>485</v>
      </c>
      <c r="F6" s="344"/>
      <c r="G6" s="337"/>
      <c r="H6" s="353" t="s">
        <v>436</v>
      </c>
      <c r="I6" s="350"/>
    </row>
    <row r="7" spans="1:9" ht="15" customHeight="1">
      <c r="A7" s="337"/>
      <c r="B7" s="343"/>
      <c r="C7" s="348"/>
      <c r="D7" s="351" t="s">
        <v>437</v>
      </c>
      <c r="E7" s="352" t="s">
        <v>184</v>
      </c>
      <c r="F7" s="344"/>
      <c r="G7" s="337"/>
      <c r="H7" s="353" t="s">
        <v>481</v>
      </c>
      <c r="I7" s="350"/>
    </row>
    <row r="8" spans="1:9" ht="15" customHeight="1">
      <c r="A8" s="337"/>
      <c r="B8" s="343"/>
      <c r="C8" s="348"/>
      <c r="D8" s="351" t="s">
        <v>482</v>
      </c>
      <c r="E8" s="354" t="str">
        <f ca="1">YEAR(TODAY())+1&amp;" - "&amp;((YEAR(TODAY())+2)-2000)&amp;" SY"</f>
        <v>2021 - 22 SY</v>
      </c>
      <c r="F8" s="344"/>
      <c r="G8" s="337"/>
      <c r="H8" s="355"/>
      <c r="I8" s="350"/>
    </row>
    <row r="9" spans="1:14" ht="15" customHeight="1">
      <c r="A9" s="337"/>
      <c r="B9" s="343"/>
      <c r="C9" s="356"/>
      <c r="D9" s="357"/>
      <c r="E9" s="358"/>
      <c r="F9" s="344"/>
      <c r="G9" s="337"/>
      <c r="I9" s="350"/>
      <c r="J9" s="350"/>
      <c r="K9" s="350"/>
      <c r="L9" s="350"/>
      <c r="M9" s="350"/>
      <c r="N9" s="350"/>
    </row>
    <row r="10" spans="1:14" ht="45.75" customHeight="1">
      <c r="A10" s="337"/>
      <c r="B10" s="343"/>
      <c r="C10" s="359"/>
      <c r="D10" s="360" t="s">
        <v>58</v>
      </c>
      <c r="E10" s="361" t="s">
        <v>483</v>
      </c>
      <c r="F10" s="344"/>
      <c r="G10" s="337"/>
      <c r="I10" s="350"/>
      <c r="J10" s="362"/>
      <c r="K10" s="350"/>
      <c r="L10" s="350"/>
      <c r="M10" s="350"/>
      <c r="N10" s="350"/>
    </row>
    <row r="11" spans="1:9" s="367" customFormat="1" ht="45.75" customHeight="1">
      <c r="A11" s="363"/>
      <c r="B11" s="364"/>
      <c r="C11" s="365"/>
      <c r="D11" s="262" t="s">
        <v>59</v>
      </c>
      <c r="E11" s="361" t="s">
        <v>561</v>
      </c>
      <c r="F11" s="366"/>
      <c r="G11" s="363"/>
      <c r="I11" s="368"/>
    </row>
    <row r="12" spans="1:20" s="367" customFormat="1" ht="72" customHeight="1">
      <c r="A12" s="363"/>
      <c r="B12" s="364"/>
      <c r="C12" s="369"/>
      <c r="D12" s="262" t="s">
        <v>60</v>
      </c>
      <c r="E12" s="361" t="s">
        <v>562</v>
      </c>
      <c r="F12" s="366"/>
      <c r="G12" s="363"/>
      <c r="I12" s="455"/>
      <c r="J12" s="455"/>
      <c r="K12" s="455"/>
      <c r="L12" s="455"/>
      <c r="M12" s="455"/>
      <c r="N12" s="455"/>
      <c r="O12" s="455"/>
      <c r="P12" s="455"/>
      <c r="Q12" s="455"/>
      <c r="R12" s="455"/>
      <c r="S12" s="455"/>
      <c r="T12" s="455"/>
    </row>
    <row r="13" spans="1:20" ht="60" customHeight="1">
      <c r="A13" s="337"/>
      <c r="B13" s="343"/>
      <c r="C13" s="349"/>
      <c r="D13" s="370" t="s">
        <v>422</v>
      </c>
      <c r="E13" s="361" t="s">
        <v>563</v>
      </c>
      <c r="F13" s="344"/>
      <c r="G13" s="337"/>
      <c r="I13" s="455"/>
      <c r="J13" s="455"/>
      <c r="K13" s="455"/>
      <c r="L13" s="455"/>
      <c r="M13" s="455"/>
      <c r="N13" s="455"/>
      <c r="O13" s="455"/>
      <c r="P13" s="455"/>
      <c r="Q13" s="455"/>
      <c r="R13" s="455"/>
      <c r="S13" s="455"/>
      <c r="T13" s="455"/>
    </row>
    <row r="14" spans="1:7" ht="15" customHeight="1">
      <c r="A14" s="337"/>
      <c r="B14" s="343"/>
      <c r="C14" s="349"/>
      <c r="D14" s="11"/>
      <c r="E14" s="371"/>
      <c r="F14" s="344"/>
      <c r="G14" s="337"/>
    </row>
    <row r="15" spans="1:7" ht="15" customHeight="1" thickBot="1">
      <c r="A15" s="337"/>
      <c r="B15" s="372"/>
      <c r="C15" s="373"/>
      <c r="D15" s="373"/>
      <c r="E15" s="374"/>
      <c r="F15" s="375" t="s">
        <v>484</v>
      </c>
      <c r="G15" s="376"/>
    </row>
    <row r="16" spans="1:7" ht="15" customHeight="1">
      <c r="A16" s="337"/>
      <c r="B16" s="337"/>
      <c r="C16" s="337"/>
      <c r="D16" s="337"/>
      <c r="E16" s="337"/>
      <c r="F16" s="337"/>
      <c r="G16" s="337"/>
    </row>
    <row r="17" ht="12.75">
      <c r="A17" s="337"/>
    </row>
    <row r="25" ht="12.75">
      <c r="K25" s="377"/>
    </row>
  </sheetData>
  <sheetProtection password="BDDB" sheet="1" objects="1" scenarios="1" selectLockedCells="1"/>
  <mergeCells count="3">
    <mergeCell ref="C3:E3"/>
    <mergeCell ref="I12:T12"/>
    <mergeCell ref="I13:T13"/>
  </mergeCells>
  <dataValidations count="1">
    <dataValidation type="list" allowBlank="1" showInputMessage="1" sqref="E7: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4. 5-Year Budget"/>
  </hyperlink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theme="3"/>
  </sheetPr>
  <dimension ref="B2:S67"/>
  <sheetViews>
    <sheetView zoomScalePageLayoutView="0" workbookViewId="0" topLeftCell="A19">
      <selection activeCell="F22" sqref="F22"/>
    </sheetView>
  </sheetViews>
  <sheetFormatPr defaultColWidth="11.421875" defaultRowHeight="15"/>
  <cols>
    <col min="1" max="3" width="3.00390625" style="39" customWidth="1"/>
    <col min="4" max="4" width="19.7109375" style="39" customWidth="1"/>
    <col min="5" max="10" width="14.28125" style="39" customWidth="1"/>
    <col min="11" max="12" width="3.00390625" style="39" customWidth="1"/>
    <col min="13" max="19" width="9.140625" style="39" customWidth="1"/>
    <col min="20" max="16384" width="11.421875" style="39" customWidth="1"/>
  </cols>
  <sheetData>
    <row r="1" ht="15" customHeight="1" thickBot="1"/>
    <row r="2" spans="2:12" ht="15" customHeight="1">
      <c r="B2" s="40"/>
      <c r="C2" s="41"/>
      <c r="D2" s="41"/>
      <c r="E2" s="41"/>
      <c r="F2" s="41"/>
      <c r="G2" s="41"/>
      <c r="H2" s="41"/>
      <c r="I2" s="41"/>
      <c r="J2" s="41"/>
      <c r="K2" s="41"/>
      <c r="L2" s="42"/>
    </row>
    <row r="3" spans="2:12" ht="18.75">
      <c r="B3" s="43"/>
      <c r="C3" s="44"/>
      <c r="D3" s="456" t="s">
        <v>486</v>
      </c>
      <c r="E3" s="456"/>
      <c r="F3" s="457"/>
      <c r="G3" s="457"/>
      <c r="H3" s="457"/>
      <c r="I3" s="457"/>
      <c r="J3" s="457"/>
      <c r="K3" s="45"/>
      <c r="L3" s="46"/>
    </row>
    <row r="4" spans="2:12" ht="15" customHeight="1">
      <c r="B4" s="43"/>
      <c r="C4" s="44"/>
      <c r="D4" s="458" t="s">
        <v>424</v>
      </c>
      <c r="E4" s="458"/>
      <c r="F4" s="457"/>
      <c r="G4" s="457"/>
      <c r="H4" s="457"/>
      <c r="I4" s="457"/>
      <c r="J4" s="457"/>
      <c r="K4" s="45"/>
      <c r="L4" s="46"/>
    </row>
    <row r="5" spans="2:12" ht="15" customHeight="1">
      <c r="B5" s="43"/>
      <c r="C5" s="44"/>
      <c r="D5" s="44"/>
      <c r="E5" s="44"/>
      <c r="F5" s="44"/>
      <c r="G5" s="44"/>
      <c r="H5" s="44"/>
      <c r="I5" s="44"/>
      <c r="J5" s="44"/>
      <c r="K5" s="44"/>
      <c r="L5" s="46"/>
    </row>
    <row r="6" spans="2:12" ht="15" customHeight="1">
      <c r="B6" s="43"/>
      <c r="C6" s="44"/>
      <c r="D6" s="47" t="s">
        <v>61</v>
      </c>
      <c r="E6" s="48"/>
      <c r="F6" s="48"/>
      <c r="G6" s="49" t="str">
        <f>IF(ISBLANK('1. Instructions'!E6),"Please enter School Name on Tab 1.",'1. Instructions'!E6)</f>
        <v>Steel City Academy</v>
      </c>
      <c r="H6" s="50"/>
      <c r="I6" s="51"/>
      <c r="J6" s="330"/>
      <c r="K6" s="50"/>
      <c r="L6" s="46"/>
    </row>
    <row r="7" spans="2:12" ht="15" customHeight="1">
      <c r="B7" s="43"/>
      <c r="C7" s="44"/>
      <c r="D7" s="47" t="s">
        <v>437</v>
      </c>
      <c r="E7" s="52"/>
      <c r="F7" s="52"/>
      <c r="G7" s="287" t="str">
        <f>IF(ISBLANK('1. Instructions'!E7),"Please enter Renewal Year on Tab 1.",'1. Instructions'!E7)</f>
        <v>Gary Community School Corp</v>
      </c>
      <c r="H7" s="50"/>
      <c r="I7" s="51"/>
      <c r="J7" s="330"/>
      <c r="K7" s="50"/>
      <c r="L7" s="46"/>
    </row>
    <row r="8" spans="2:12" ht="15" customHeight="1">
      <c r="B8" s="43"/>
      <c r="C8" s="44"/>
      <c r="D8" s="47" t="s">
        <v>423</v>
      </c>
      <c r="E8" s="52"/>
      <c r="F8" s="52"/>
      <c r="G8" s="287" t="str">
        <f>IF('1. Instructions'!E8="Select from drop-down list →","Please enter Location on Tab 1.",'1. Instructions'!E8)</f>
        <v>2021 - 22 SY</v>
      </c>
      <c r="H8" s="50"/>
      <c r="I8" s="51"/>
      <c r="J8" s="330"/>
      <c r="K8" s="50"/>
      <c r="L8" s="46"/>
    </row>
    <row r="9" spans="2:12" ht="15" customHeight="1">
      <c r="B9" s="43"/>
      <c r="C9" s="44"/>
      <c r="D9" s="47"/>
      <c r="E9" s="52"/>
      <c r="F9" s="52"/>
      <c r="G9" s="287"/>
      <c r="H9" s="50"/>
      <c r="I9" s="51"/>
      <c r="J9" s="330"/>
      <c r="K9" s="50"/>
      <c r="L9" s="46"/>
    </row>
    <row r="10" spans="2:12" s="338" customFormat="1" ht="15" customHeight="1" thickBot="1">
      <c r="B10" s="379"/>
      <c r="C10" s="380"/>
      <c r="D10" s="479" t="s">
        <v>492</v>
      </c>
      <c r="E10" s="480"/>
      <c r="F10" s="480"/>
      <c r="G10" s="480"/>
      <c r="H10" s="480"/>
      <c r="I10" s="480"/>
      <c r="J10" s="480"/>
      <c r="K10" s="381"/>
      <c r="L10" s="382"/>
    </row>
    <row r="11" spans="2:12" s="338" customFormat="1" ht="15" customHeight="1">
      <c r="B11" s="379"/>
      <c r="C11" s="380"/>
      <c r="D11" s="469" t="s">
        <v>560</v>
      </c>
      <c r="E11" s="470"/>
      <c r="F11" s="471"/>
      <c r="G11" s="471"/>
      <c r="H11" s="471"/>
      <c r="I11" s="471"/>
      <c r="J11" s="472"/>
      <c r="K11" s="381"/>
      <c r="L11" s="382"/>
    </row>
    <row r="12" spans="2:12" s="338" customFormat="1" ht="15" customHeight="1">
      <c r="B12" s="379"/>
      <c r="C12" s="380"/>
      <c r="D12" s="473"/>
      <c r="E12" s="474"/>
      <c r="F12" s="474"/>
      <c r="G12" s="474"/>
      <c r="H12" s="474"/>
      <c r="I12" s="474"/>
      <c r="J12" s="475"/>
      <c r="K12" s="381"/>
      <c r="L12" s="382"/>
    </row>
    <row r="13" spans="2:12" s="338" customFormat="1" ht="15" customHeight="1">
      <c r="B13" s="379"/>
      <c r="C13" s="380"/>
      <c r="D13" s="473"/>
      <c r="E13" s="474"/>
      <c r="F13" s="474"/>
      <c r="G13" s="474"/>
      <c r="H13" s="474"/>
      <c r="I13" s="474"/>
      <c r="J13" s="475"/>
      <c r="K13" s="381"/>
      <c r="L13" s="382"/>
    </row>
    <row r="14" spans="2:12" s="338" customFormat="1" ht="15" customHeight="1">
      <c r="B14" s="379"/>
      <c r="C14" s="380"/>
      <c r="D14" s="473"/>
      <c r="E14" s="474"/>
      <c r="F14" s="474"/>
      <c r="G14" s="474"/>
      <c r="H14" s="474"/>
      <c r="I14" s="474"/>
      <c r="J14" s="475"/>
      <c r="K14" s="381"/>
      <c r="L14" s="382"/>
    </row>
    <row r="15" spans="2:12" s="338" customFormat="1" ht="15" customHeight="1">
      <c r="B15" s="379"/>
      <c r="C15" s="380"/>
      <c r="D15" s="473"/>
      <c r="E15" s="474"/>
      <c r="F15" s="474"/>
      <c r="G15" s="474"/>
      <c r="H15" s="474"/>
      <c r="I15" s="474"/>
      <c r="J15" s="475"/>
      <c r="K15" s="381"/>
      <c r="L15" s="382"/>
    </row>
    <row r="16" spans="2:12" s="338" customFormat="1" ht="15" customHeight="1">
      <c r="B16" s="379"/>
      <c r="C16" s="380"/>
      <c r="D16" s="473"/>
      <c r="E16" s="474"/>
      <c r="F16" s="474"/>
      <c r="G16" s="474"/>
      <c r="H16" s="474"/>
      <c r="I16" s="474"/>
      <c r="J16" s="475"/>
      <c r="K16" s="381"/>
      <c r="L16" s="382"/>
    </row>
    <row r="17" spans="2:12" s="338" customFormat="1" ht="15" customHeight="1" thickBot="1">
      <c r="B17" s="379"/>
      <c r="C17" s="380"/>
      <c r="D17" s="476"/>
      <c r="E17" s="477"/>
      <c r="F17" s="477"/>
      <c r="G17" s="477"/>
      <c r="H17" s="477"/>
      <c r="I17" s="477"/>
      <c r="J17" s="478"/>
      <c r="K17" s="381"/>
      <c r="L17" s="382"/>
    </row>
    <row r="18" spans="2:12" ht="15" customHeight="1">
      <c r="B18" s="43"/>
      <c r="C18" s="44"/>
      <c r="D18" s="12"/>
      <c r="E18" s="12"/>
      <c r="F18" s="12"/>
      <c r="G18" s="12"/>
      <c r="H18" s="12"/>
      <c r="I18" s="12"/>
      <c r="J18" s="12"/>
      <c r="K18" s="12"/>
      <c r="L18" s="46"/>
    </row>
    <row r="19" spans="2:12" ht="15" customHeight="1">
      <c r="B19" s="43"/>
      <c r="C19" s="383"/>
      <c r="D19" s="54" t="s">
        <v>83</v>
      </c>
      <c r="E19" s="53" t="s">
        <v>9</v>
      </c>
      <c r="F19" s="53" t="s">
        <v>487</v>
      </c>
      <c r="G19" s="53" t="s">
        <v>488</v>
      </c>
      <c r="H19" s="53" t="s">
        <v>489</v>
      </c>
      <c r="I19" s="53" t="s">
        <v>490</v>
      </c>
      <c r="J19" s="54" t="s">
        <v>491</v>
      </c>
      <c r="K19" s="55"/>
      <c r="L19" s="46"/>
    </row>
    <row r="20" spans="2:12" ht="15" customHeight="1">
      <c r="B20" s="43"/>
      <c r="C20" s="56"/>
      <c r="D20" s="57"/>
      <c r="E20" s="378" t="str">
        <f ca="1">YEAR(TODAY())&amp;" - "&amp;((YEAR(TODAY())+1)-2000)&amp;" SY"</f>
        <v>2020 - 21 SY</v>
      </c>
      <c r="F20" s="378" t="str">
        <f ca="1">YEAR(TODAY())+1&amp;" - "&amp;((YEAR(TODAY())+2)-2000)&amp;" SY"</f>
        <v>2021 - 22 SY</v>
      </c>
      <c r="G20" s="378" t="str">
        <f ca="1">YEAR(TODAY())+2&amp;" - "&amp;((YEAR(TODAY())+3)-2000)&amp;" SY"</f>
        <v>2022 - 23 SY</v>
      </c>
      <c r="H20" s="378" t="str">
        <f ca="1">YEAR(TODAY())+3&amp;" - "&amp;((YEAR(TODAY())+4)-2000)&amp;" SY"</f>
        <v>2023 - 24 SY</v>
      </c>
      <c r="I20" s="378" t="str">
        <f ca="1">YEAR(TODAY())+4&amp;" - "&amp;((YEAR(TODAY())+5)-2000)&amp;" SY"</f>
        <v>2024 - 25 SY</v>
      </c>
      <c r="J20" s="378" t="str">
        <f ca="1">YEAR(TODAY())+5&amp;" - "&amp;((YEAR(TODAY())+6)-2000)&amp;" SY"</f>
        <v>2025 - 26 SY</v>
      </c>
      <c r="K20" s="58"/>
      <c r="L20" s="46"/>
    </row>
    <row r="21" spans="2:12" ht="15" customHeight="1">
      <c r="B21" s="43"/>
      <c r="C21" s="56"/>
      <c r="D21" s="57"/>
      <c r="E21" s="57"/>
      <c r="F21" s="57"/>
      <c r="G21" s="57"/>
      <c r="H21" s="57"/>
      <c r="I21" s="57"/>
      <c r="J21" s="57"/>
      <c r="K21" s="58"/>
      <c r="L21" s="46"/>
    </row>
    <row r="22" spans="2:12" ht="15" customHeight="1">
      <c r="B22" s="43"/>
      <c r="C22" s="56"/>
      <c r="D22" s="59" t="s">
        <v>62</v>
      </c>
      <c r="E22" s="449">
        <v>34</v>
      </c>
      <c r="F22" s="449">
        <v>50</v>
      </c>
      <c r="G22" s="449">
        <v>50</v>
      </c>
      <c r="H22" s="449">
        <v>75</v>
      </c>
      <c r="I22" s="449">
        <v>75</v>
      </c>
      <c r="J22" s="449">
        <v>75</v>
      </c>
      <c r="K22" s="60"/>
      <c r="L22" s="46"/>
    </row>
    <row r="23" spans="2:12" ht="15" customHeight="1">
      <c r="B23" s="43"/>
      <c r="C23" s="56"/>
      <c r="D23" s="59" t="s">
        <v>63</v>
      </c>
      <c r="E23" s="449">
        <v>36</v>
      </c>
      <c r="F23" s="449">
        <v>35</v>
      </c>
      <c r="G23" s="449">
        <v>50</v>
      </c>
      <c r="H23" s="449">
        <v>50</v>
      </c>
      <c r="I23" s="449">
        <v>75</v>
      </c>
      <c r="J23" s="449">
        <v>75</v>
      </c>
      <c r="K23" s="60"/>
      <c r="L23" s="46"/>
    </row>
    <row r="24" spans="2:12" ht="15" customHeight="1">
      <c r="B24" s="43"/>
      <c r="C24" s="56"/>
      <c r="D24" s="59" t="s">
        <v>64</v>
      </c>
      <c r="E24" s="449">
        <v>36</v>
      </c>
      <c r="F24" s="449">
        <v>35</v>
      </c>
      <c r="G24" s="449">
        <v>30</v>
      </c>
      <c r="H24" s="449">
        <v>50</v>
      </c>
      <c r="I24" s="449">
        <v>50</v>
      </c>
      <c r="J24" s="449">
        <v>75</v>
      </c>
      <c r="K24" s="60"/>
      <c r="L24" s="46"/>
    </row>
    <row r="25" spans="2:12" ht="15" customHeight="1">
      <c r="B25" s="43"/>
      <c r="C25" s="56"/>
      <c r="D25" s="59" t="s">
        <v>65</v>
      </c>
      <c r="E25" s="449">
        <v>32</v>
      </c>
      <c r="F25" s="449">
        <v>30</v>
      </c>
      <c r="G25" s="449">
        <v>30</v>
      </c>
      <c r="H25" s="449">
        <v>30</v>
      </c>
      <c r="I25" s="449">
        <v>50</v>
      </c>
      <c r="J25" s="449">
        <v>50</v>
      </c>
      <c r="K25" s="60"/>
      <c r="L25" s="46"/>
    </row>
    <row r="26" spans="2:12" ht="15" customHeight="1">
      <c r="B26" s="43"/>
      <c r="C26" s="56"/>
      <c r="D26" s="59" t="s">
        <v>66</v>
      </c>
      <c r="E26" s="449">
        <v>0</v>
      </c>
      <c r="F26" s="449">
        <v>30</v>
      </c>
      <c r="G26" s="449">
        <v>30</v>
      </c>
      <c r="H26" s="449">
        <v>30</v>
      </c>
      <c r="I26" s="449">
        <v>30</v>
      </c>
      <c r="J26" s="449">
        <v>50</v>
      </c>
      <c r="K26" s="60"/>
      <c r="L26" s="46"/>
    </row>
    <row r="27" spans="2:12" ht="15" customHeight="1">
      <c r="B27" s="43"/>
      <c r="C27" s="56"/>
      <c r="D27" s="59" t="s">
        <v>67</v>
      </c>
      <c r="E27" s="449">
        <v>0</v>
      </c>
      <c r="F27" s="449">
        <v>0</v>
      </c>
      <c r="G27" s="449">
        <v>30</v>
      </c>
      <c r="H27" s="449">
        <v>30</v>
      </c>
      <c r="I27" s="449">
        <v>30</v>
      </c>
      <c r="J27" s="449">
        <v>30</v>
      </c>
      <c r="K27" s="60"/>
      <c r="L27" s="46"/>
    </row>
    <row r="28" spans="2:12" ht="15" customHeight="1">
      <c r="B28" s="43"/>
      <c r="C28" s="56"/>
      <c r="D28" s="59" t="s">
        <v>68</v>
      </c>
      <c r="E28" s="449">
        <v>0</v>
      </c>
      <c r="F28" s="449">
        <v>25</v>
      </c>
      <c r="G28" s="449">
        <v>30</v>
      </c>
      <c r="H28" s="449">
        <v>30</v>
      </c>
      <c r="I28" s="449">
        <v>50</v>
      </c>
      <c r="J28" s="449">
        <v>50</v>
      </c>
      <c r="K28" s="60"/>
      <c r="L28" s="46"/>
    </row>
    <row r="29" spans="2:12" ht="15" customHeight="1">
      <c r="B29" s="43"/>
      <c r="C29" s="56"/>
      <c r="D29" s="59" t="s">
        <v>69</v>
      </c>
      <c r="E29" s="449">
        <v>21</v>
      </c>
      <c r="F29" s="449">
        <v>25</v>
      </c>
      <c r="G29" s="449">
        <v>25</v>
      </c>
      <c r="H29" s="449">
        <v>30</v>
      </c>
      <c r="I29" s="449">
        <v>50</v>
      </c>
      <c r="J29" s="449">
        <v>50</v>
      </c>
      <c r="K29" s="60"/>
      <c r="L29" s="46"/>
    </row>
    <row r="30" spans="2:12" ht="15" customHeight="1">
      <c r="B30" s="43"/>
      <c r="C30" s="56"/>
      <c r="D30" s="59" t="s">
        <v>70</v>
      </c>
      <c r="E30" s="449">
        <v>30</v>
      </c>
      <c r="F30" s="449">
        <v>25</v>
      </c>
      <c r="G30" s="449">
        <v>25</v>
      </c>
      <c r="H30" s="449">
        <v>25</v>
      </c>
      <c r="I30" s="449">
        <v>25</v>
      </c>
      <c r="J30" s="449">
        <v>50</v>
      </c>
      <c r="K30" s="60"/>
      <c r="L30" s="46"/>
    </row>
    <row r="31" spans="2:12" ht="15" customHeight="1">
      <c r="B31" s="43"/>
      <c r="C31" s="56"/>
      <c r="D31" s="59" t="s">
        <v>71</v>
      </c>
      <c r="E31" s="449">
        <v>68</v>
      </c>
      <c r="F31" s="449">
        <v>50</v>
      </c>
      <c r="G31" s="449">
        <v>50</v>
      </c>
      <c r="H31" s="449">
        <v>50</v>
      </c>
      <c r="I31" s="449">
        <v>50</v>
      </c>
      <c r="J31" s="449">
        <v>50</v>
      </c>
      <c r="K31" s="60"/>
      <c r="L31" s="46"/>
    </row>
    <row r="32" spans="2:12" ht="15" customHeight="1">
      <c r="B32" s="43"/>
      <c r="C32" s="56"/>
      <c r="D32" s="59" t="s">
        <v>72</v>
      </c>
      <c r="E32" s="449">
        <v>66</v>
      </c>
      <c r="F32" s="449">
        <v>60</v>
      </c>
      <c r="G32" s="449">
        <v>50</v>
      </c>
      <c r="H32" s="449">
        <v>60</v>
      </c>
      <c r="I32" s="449">
        <v>50</v>
      </c>
      <c r="J32" s="449">
        <v>50</v>
      </c>
      <c r="K32" s="60"/>
      <c r="L32" s="46"/>
    </row>
    <row r="33" spans="2:12" ht="15" customHeight="1">
      <c r="B33" s="43"/>
      <c r="C33" s="56"/>
      <c r="D33" s="59" t="s">
        <v>73</v>
      </c>
      <c r="E33" s="449">
        <v>64</v>
      </c>
      <c r="F33" s="449">
        <v>60</v>
      </c>
      <c r="G33" s="449">
        <v>60</v>
      </c>
      <c r="H33" s="449">
        <v>50</v>
      </c>
      <c r="I33" s="449">
        <v>55</v>
      </c>
      <c r="J33" s="449">
        <v>50</v>
      </c>
      <c r="K33" s="60"/>
      <c r="L33" s="46"/>
    </row>
    <row r="34" spans="2:12" ht="15" customHeight="1">
      <c r="B34" s="43"/>
      <c r="C34" s="56"/>
      <c r="D34" s="59" t="s">
        <v>74</v>
      </c>
      <c r="E34" s="449">
        <v>31</v>
      </c>
      <c r="F34" s="449">
        <v>60</v>
      </c>
      <c r="G34" s="449">
        <v>60</v>
      </c>
      <c r="H34" s="449">
        <v>55</v>
      </c>
      <c r="I34" s="449">
        <v>50</v>
      </c>
      <c r="J34" s="449">
        <v>50</v>
      </c>
      <c r="K34" s="60"/>
      <c r="L34" s="46"/>
    </row>
    <row r="35" spans="2:12" ht="15" customHeight="1" thickBot="1">
      <c r="B35" s="43"/>
      <c r="C35" s="56"/>
      <c r="D35" s="59" t="s">
        <v>75</v>
      </c>
      <c r="E35" s="450">
        <v>0</v>
      </c>
      <c r="F35" s="450">
        <v>0</v>
      </c>
      <c r="G35" s="450">
        <v>0</v>
      </c>
      <c r="H35" s="450">
        <v>0</v>
      </c>
      <c r="I35" s="450">
        <v>0</v>
      </c>
      <c r="J35" s="450">
        <v>0</v>
      </c>
      <c r="K35" s="60"/>
      <c r="L35" s="46"/>
    </row>
    <row r="36" spans="2:12" ht="15" customHeight="1">
      <c r="B36" s="43"/>
      <c r="C36" s="56"/>
      <c r="D36" s="61" t="s">
        <v>420</v>
      </c>
      <c r="E36" s="384">
        <f aca="true" t="shared" si="0" ref="E36:J36">E35</f>
        <v>0</v>
      </c>
      <c r="F36" s="384">
        <f t="shared" si="0"/>
        <v>0</v>
      </c>
      <c r="G36" s="384">
        <f t="shared" si="0"/>
        <v>0</v>
      </c>
      <c r="H36" s="384">
        <f t="shared" si="0"/>
        <v>0</v>
      </c>
      <c r="I36" s="384">
        <f t="shared" si="0"/>
        <v>0</v>
      </c>
      <c r="J36" s="384">
        <f t="shared" si="0"/>
        <v>0</v>
      </c>
      <c r="K36" s="60"/>
      <c r="L36" s="46"/>
    </row>
    <row r="37" spans="2:12" ht="15" customHeight="1">
      <c r="B37" s="43"/>
      <c r="C37" s="56"/>
      <c r="D37" s="61" t="s">
        <v>421</v>
      </c>
      <c r="E37" s="62">
        <f aca="true" t="shared" si="1" ref="E37:J37">SUM(E22:E34)</f>
        <v>418</v>
      </c>
      <c r="F37" s="62">
        <f t="shared" si="1"/>
        <v>485</v>
      </c>
      <c r="G37" s="62">
        <f t="shared" si="1"/>
        <v>520</v>
      </c>
      <c r="H37" s="62">
        <f t="shared" si="1"/>
        <v>565</v>
      </c>
      <c r="I37" s="62">
        <f t="shared" si="1"/>
        <v>640</v>
      </c>
      <c r="J37" s="62">
        <f t="shared" si="1"/>
        <v>705</v>
      </c>
      <c r="K37" s="63"/>
      <c r="L37" s="46"/>
    </row>
    <row r="38" spans="2:12" ht="15" customHeight="1">
      <c r="B38" s="43"/>
      <c r="C38" s="56"/>
      <c r="D38" s="64"/>
      <c r="E38" s="65"/>
      <c r="F38" s="65"/>
      <c r="G38" s="65"/>
      <c r="H38" s="65"/>
      <c r="I38" s="65"/>
      <c r="J38" s="69"/>
      <c r="K38" s="66"/>
      <c r="L38" s="46"/>
    </row>
    <row r="39" spans="2:12" ht="15" customHeight="1">
      <c r="B39" s="43"/>
      <c r="C39" s="56"/>
      <c r="D39" s="64" t="s">
        <v>84</v>
      </c>
      <c r="E39" s="449">
        <v>63</v>
      </c>
      <c r="F39" s="449">
        <v>73</v>
      </c>
      <c r="G39" s="449">
        <v>78</v>
      </c>
      <c r="H39" s="449">
        <v>85</v>
      </c>
      <c r="I39" s="449">
        <v>96</v>
      </c>
      <c r="J39" s="449">
        <v>106</v>
      </c>
      <c r="K39" s="63"/>
      <c r="L39" s="46"/>
    </row>
    <row r="40" spans="2:19" ht="15" customHeight="1">
      <c r="B40" s="43"/>
      <c r="C40" s="56"/>
      <c r="D40" s="64" t="s">
        <v>85</v>
      </c>
      <c r="E40" s="449"/>
      <c r="F40" s="449">
        <v>2</v>
      </c>
      <c r="G40" s="449">
        <v>2</v>
      </c>
      <c r="H40" s="449">
        <v>3</v>
      </c>
      <c r="I40" s="449">
        <v>3</v>
      </c>
      <c r="J40" s="449">
        <v>3</v>
      </c>
      <c r="K40" s="63"/>
      <c r="L40" s="46"/>
      <c r="R40" s="67"/>
      <c r="S40" s="67"/>
    </row>
    <row r="41" spans="2:19" ht="15" customHeight="1">
      <c r="B41" s="43"/>
      <c r="C41" s="56"/>
      <c r="D41" s="64" t="s">
        <v>395</v>
      </c>
      <c r="E41" s="449">
        <v>335</v>
      </c>
      <c r="F41" s="449">
        <v>388</v>
      </c>
      <c r="G41" s="449">
        <v>416</v>
      </c>
      <c r="H41" s="449">
        <v>452</v>
      </c>
      <c r="I41" s="449">
        <v>512</v>
      </c>
      <c r="J41" s="449">
        <v>564</v>
      </c>
      <c r="K41" s="63"/>
      <c r="L41" s="46"/>
      <c r="R41" s="68"/>
      <c r="S41" s="68"/>
    </row>
    <row r="42" spans="2:19" ht="15" customHeight="1">
      <c r="B42" s="43"/>
      <c r="C42" s="56"/>
      <c r="D42" s="64"/>
      <c r="E42" s="65"/>
      <c r="F42" s="65"/>
      <c r="G42" s="65"/>
      <c r="H42" s="65"/>
      <c r="I42" s="65"/>
      <c r="J42" s="65"/>
      <c r="K42" s="66"/>
      <c r="L42" s="46"/>
      <c r="R42" s="68"/>
      <c r="S42" s="68"/>
    </row>
    <row r="43" spans="2:19" ht="15" customHeight="1">
      <c r="B43" s="43"/>
      <c r="C43" s="56"/>
      <c r="D43" s="64" t="s">
        <v>411</v>
      </c>
      <c r="E43" s="70">
        <f>E37*VLOOKUP('1. Instructions'!$E$7,CONTROL!$C$18:$G$307,5,FALSE)</f>
        <v>3257155.275</v>
      </c>
      <c r="F43" s="70">
        <f>F37*VLOOKUP('1. Instructions'!$E$7,CONTROL!$C$18:$G$307,5,FALSE)</f>
        <v>3779235.1875</v>
      </c>
      <c r="G43" s="70">
        <f>G37*VLOOKUP('1. Instructions'!$E$7,CONTROL!$C$18:$G$307,5,FALSE)</f>
        <v>4051963.5</v>
      </c>
      <c r="H43" s="70">
        <f>H37*VLOOKUP('1. Instructions'!$E$7,CONTROL!$C$18:$G$307,5,FALSE)</f>
        <v>4402614.1875</v>
      </c>
      <c r="I43" s="70">
        <f>I37*VLOOKUP('1. Instructions'!$E$7,CONTROL!$C$18:$G$307,5,FALSE)</f>
        <v>4987032</v>
      </c>
      <c r="J43" s="70">
        <f>J37*VLOOKUP('1. Instructions'!$E$7,CONTROL!$C$18:$G$307,5,FALSE)</f>
        <v>5493527.4375</v>
      </c>
      <c r="K43" s="66"/>
      <c r="L43" s="46"/>
      <c r="S43" s="68"/>
    </row>
    <row r="44" spans="2:19" ht="15" customHeight="1">
      <c r="B44" s="43"/>
      <c r="C44" s="56"/>
      <c r="D44" s="64" t="s">
        <v>412</v>
      </c>
      <c r="E44" s="70">
        <f>CONTROL!$K$23*E36</f>
        <v>0</v>
      </c>
      <c r="F44" s="70">
        <f>CONTROL!$K$23*F36</f>
        <v>0</v>
      </c>
      <c r="G44" s="70">
        <f>CONTROL!$K$23*G36</f>
        <v>0</v>
      </c>
      <c r="H44" s="70">
        <f>CONTROL!$K$23*H36</f>
        <v>0</v>
      </c>
      <c r="I44" s="70">
        <f>CONTROL!$K$23*I36</f>
        <v>0</v>
      </c>
      <c r="J44" s="70">
        <f>CONTROL!$K$23*J36</f>
        <v>0</v>
      </c>
      <c r="K44" s="66"/>
      <c r="L44" s="46"/>
      <c r="P44" s="320"/>
      <c r="S44" s="68"/>
    </row>
    <row r="45" spans="2:19" ht="15" customHeight="1">
      <c r="B45" s="43"/>
      <c r="C45" s="56"/>
      <c r="D45" s="64" t="s">
        <v>413</v>
      </c>
      <c r="E45" s="70">
        <f aca="true" t="shared" si="2" ref="E45:J45">SUM(E43:E44)</f>
        <v>3257155.275</v>
      </c>
      <c r="F45" s="70">
        <f t="shared" si="2"/>
        <v>3779235.1875</v>
      </c>
      <c r="G45" s="70">
        <f t="shared" si="2"/>
        <v>4051963.5</v>
      </c>
      <c r="H45" s="70">
        <f t="shared" si="2"/>
        <v>4402614.1875</v>
      </c>
      <c r="I45" s="70">
        <f t="shared" si="2"/>
        <v>4987032</v>
      </c>
      <c r="J45" s="70">
        <f t="shared" si="2"/>
        <v>5493527.4375</v>
      </c>
      <c r="K45" s="66"/>
      <c r="L45" s="46"/>
      <c r="S45" s="68"/>
    </row>
    <row r="46" spans="2:19" ht="15" customHeight="1">
      <c r="B46" s="43"/>
      <c r="C46" s="56"/>
      <c r="D46" s="386" t="s">
        <v>438</v>
      </c>
      <c r="E46" s="385"/>
      <c r="F46" s="70">
        <f>F45*0.95</f>
        <v>3590273.4281249996</v>
      </c>
      <c r="G46" s="70">
        <f>G45*0.97</f>
        <v>3930404.5949999997</v>
      </c>
      <c r="H46" s="70">
        <f>H45*0.97</f>
        <v>4270535.761875</v>
      </c>
      <c r="I46" s="70">
        <f>I45*0.99</f>
        <v>4937161.68</v>
      </c>
      <c r="J46" s="70">
        <f>J45*0.99</f>
        <v>5438592.163125</v>
      </c>
      <c r="K46" s="66"/>
      <c r="L46" s="46"/>
      <c r="S46" s="68"/>
    </row>
    <row r="47" spans="2:19" ht="15" customHeight="1">
      <c r="B47" s="43"/>
      <c r="C47" s="56"/>
      <c r="D47" s="64"/>
      <c r="E47" s="65"/>
      <c r="F47" s="65"/>
      <c r="G47" s="65"/>
      <c r="H47" s="65"/>
      <c r="I47" s="65"/>
      <c r="J47" s="65"/>
      <c r="K47" s="66"/>
      <c r="L47" s="46"/>
      <c r="R47" s="68"/>
      <c r="S47" s="68"/>
    </row>
    <row r="48" spans="2:19" s="338" customFormat="1" ht="15" customHeight="1">
      <c r="B48" s="379"/>
      <c r="C48" s="387"/>
      <c r="D48" s="459" t="s">
        <v>493</v>
      </c>
      <c r="E48" s="460"/>
      <c r="F48" s="461"/>
      <c r="G48" s="461"/>
      <c r="H48" s="461"/>
      <c r="I48" s="461"/>
      <c r="J48" s="462"/>
      <c r="K48" s="388"/>
      <c r="L48" s="382"/>
      <c r="R48" s="68"/>
      <c r="S48" s="68"/>
    </row>
    <row r="49" spans="2:19" s="338" customFormat="1" ht="15" customHeight="1">
      <c r="B49" s="379"/>
      <c r="C49" s="387"/>
      <c r="D49" s="463"/>
      <c r="E49" s="464"/>
      <c r="F49" s="464"/>
      <c r="G49" s="464"/>
      <c r="H49" s="464"/>
      <c r="I49" s="464"/>
      <c r="J49" s="465"/>
      <c r="K49" s="388"/>
      <c r="L49" s="382"/>
      <c r="R49" s="68"/>
      <c r="S49" s="68"/>
    </row>
    <row r="50" spans="2:19" s="338" customFormat="1" ht="15" customHeight="1">
      <c r="B50" s="379"/>
      <c r="C50" s="387"/>
      <c r="D50" s="463"/>
      <c r="E50" s="464"/>
      <c r="F50" s="464"/>
      <c r="G50" s="464"/>
      <c r="H50" s="464"/>
      <c r="I50" s="464"/>
      <c r="J50" s="465"/>
      <c r="K50" s="388"/>
      <c r="L50" s="382"/>
      <c r="R50" s="68"/>
      <c r="S50" s="68"/>
    </row>
    <row r="51" spans="2:19" s="338" customFormat="1" ht="15" customHeight="1">
      <c r="B51" s="379"/>
      <c r="C51" s="387"/>
      <c r="D51" s="463"/>
      <c r="E51" s="464"/>
      <c r="F51" s="464"/>
      <c r="G51" s="464"/>
      <c r="H51" s="464"/>
      <c r="I51" s="464"/>
      <c r="J51" s="465"/>
      <c r="K51" s="388"/>
      <c r="L51" s="382"/>
      <c r="R51" s="68"/>
      <c r="S51" s="68"/>
    </row>
    <row r="52" spans="2:19" s="338" customFormat="1" ht="15" customHeight="1">
      <c r="B52" s="379"/>
      <c r="C52" s="387"/>
      <c r="D52" s="463"/>
      <c r="E52" s="464"/>
      <c r="F52" s="464"/>
      <c r="G52" s="464"/>
      <c r="H52" s="464"/>
      <c r="I52" s="464"/>
      <c r="J52" s="465"/>
      <c r="K52" s="388"/>
      <c r="L52" s="382"/>
      <c r="R52" s="68"/>
      <c r="S52" s="68"/>
    </row>
    <row r="53" spans="2:19" s="338" customFormat="1" ht="15" customHeight="1">
      <c r="B53" s="379"/>
      <c r="C53" s="387"/>
      <c r="D53" s="463"/>
      <c r="E53" s="464"/>
      <c r="F53" s="464"/>
      <c r="G53" s="464"/>
      <c r="H53" s="464"/>
      <c r="I53" s="464"/>
      <c r="J53" s="465"/>
      <c r="K53" s="388"/>
      <c r="L53" s="382"/>
      <c r="R53" s="68"/>
      <c r="S53" s="68"/>
    </row>
    <row r="54" spans="2:19" s="338" customFormat="1" ht="15" customHeight="1">
      <c r="B54" s="379"/>
      <c r="C54" s="387"/>
      <c r="D54" s="463"/>
      <c r="E54" s="464"/>
      <c r="F54" s="464"/>
      <c r="G54" s="464"/>
      <c r="H54" s="464"/>
      <c r="I54" s="464"/>
      <c r="J54" s="465"/>
      <c r="K54" s="388"/>
      <c r="L54" s="382"/>
      <c r="R54" s="68"/>
      <c r="S54" s="68"/>
    </row>
    <row r="55" spans="2:19" s="338" customFormat="1" ht="15" customHeight="1">
      <c r="B55" s="379"/>
      <c r="C55" s="387"/>
      <c r="D55" s="463"/>
      <c r="E55" s="464"/>
      <c r="F55" s="464"/>
      <c r="G55" s="464"/>
      <c r="H55" s="464"/>
      <c r="I55" s="464"/>
      <c r="J55" s="465"/>
      <c r="K55" s="388"/>
      <c r="L55" s="382"/>
      <c r="R55" s="68"/>
      <c r="S55" s="68"/>
    </row>
    <row r="56" spans="2:19" s="338" customFormat="1" ht="15" customHeight="1">
      <c r="B56" s="379"/>
      <c r="C56" s="387"/>
      <c r="D56" s="463"/>
      <c r="E56" s="464"/>
      <c r="F56" s="464"/>
      <c r="G56" s="464"/>
      <c r="H56" s="464"/>
      <c r="I56" s="464"/>
      <c r="J56" s="465"/>
      <c r="K56" s="388"/>
      <c r="L56" s="382"/>
      <c r="R56" s="68"/>
      <c r="S56" s="68"/>
    </row>
    <row r="57" spans="2:19" s="338" customFormat="1" ht="15" customHeight="1">
      <c r="B57" s="379"/>
      <c r="C57" s="387"/>
      <c r="D57" s="463"/>
      <c r="E57" s="464"/>
      <c r="F57" s="464"/>
      <c r="G57" s="464"/>
      <c r="H57" s="464"/>
      <c r="I57" s="464"/>
      <c r="J57" s="465"/>
      <c r="K57" s="388"/>
      <c r="L57" s="382"/>
      <c r="R57" s="68"/>
      <c r="S57" s="68"/>
    </row>
    <row r="58" spans="2:19" s="338" customFormat="1" ht="15" customHeight="1">
      <c r="B58" s="379"/>
      <c r="C58" s="387"/>
      <c r="D58" s="463"/>
      <c r="E58" s="464"/>
      <c r="F58" s="464"/>
      <c r="G58" s="464"/>
      <c r="H58" s="464"/>
      <c r="I58" s="464"/>
      <c r="J58" s="465"/>
      <c r="K58" s="388"/>
      <c r="L58" s="382"/>
      <c r="R58" s="68"/>
      <c r="S58" s="68"/>
    </row>
    <row r="59" spans="2:19" s="338" customFormat="1" ht="15" customHeight="1">
      <c r="B59" s="379"/>
      <c r="C59" s="387"/>
      <c r="D59" s="463"/>
      <c r="E59" s="464"/>
      <c r="F59" s="464"/>
      <c r="G59" s="464"/>
      <c r="H59" s="464"/>
      <c r="I59" s="464"/>
      <c r="J59" s="465"/>
      <c r="K59" s="388"/>
      <c r="L59" s="382"/>
      <c r="R59" s="68"/>
      <c r="S59" s="68"/>
    </row>
    <row r="60" spans="2:19" s="338" customFormat="1" ht="15" customHeight="1">
      <c r="B60" s="379"/>
      <c r="C60" s="387"/>
      <c r="D60" s="463"/>
      <c r="E60" s="464"/>
      <c r="F60" s="464"/>
      <c r="G60" s="464"/>
      <c r="H60" s="464"/>
      <c r="I60" s="464"/>
      <c r="J60" s="465"/>
      <c r="K60" s="388"/>
      <c r="L60" s="382"/>
      <c r="R60" s="68"/>
      <c r="S60" s="68"/>
    </row>
    <row r="61" spans="2:19" s="338" customFormat="1" ht="15" customHeight="1">
      <c r="B61" s="379"/>
      <c r="C61" s="387"/>
      <c r="D61" s="463"/>
      <c r="E61" s="464"/>
      <c r="F61" s="464"/>
      <c r="G61" s="464"/>
      <c r="H61" s="464"/>
      <c r="I61" s="464"/>
      <c r="J61" s="465"/>
      <c r="K61" s="388"/>
      <c r="L61" s="382"/>
      <c r="R61" s="68"/>
      <c r="S61" s="68"/>
    </row>
    <row r="62" spans="2:19" s="338" customFormat="1" ht="15" customHeight="1">
      <c r="B62" s="379"/>
      <c r="C62" s="387"/>
      <c r="D62" s="463"/>
      <c r="E62" s="464"/>
      <c r="F62" s="464"/>
      <c r="G62" s="464"/>
      <c r="H62" s="464"/>
      <c r="I62" s="464"/>
      <c r="J62" s="465"/>
      <c r="K62" s="388"/>
      <c r="L62" s="382"/>
      <c r="R62" s="68"/>
      <c r="S62" s="68"/>
    </row>
    <row r="63" spans="2:19" s="338" customFormat="1" ht="15" customHeight="1">
      <c r="B63" s="379"/>
      <c r="C63" s="387"/>
      <c r="D63" s="463"/>
      <c r="E63" s="464"/>
      <c r="F63" s="464"/>
      <c r="G63" s="464"/>
      <c r="H63" s="464"/>
      <c r="I63" s="464"/>
      <c r="J63" s="465"/>
      <c r="K63" s="388"/>
      <c r="L63" s="382"/>
      <c r="R63" s="68"/>
      <c r="S63" s="68"/>
    </row>
    <row r="64" spans="2:19" s="338" customFormat="1" ht="15" customHeight="1">
      <c r="B64" s="379"/>
      <c r="C64" s="387"/>
      <c r="D64" s="466"/>
      <c r="E64" s="467"/>
      <c r="F64" s="467"/>
      <c r="G64" s="467"/>
      <c r="H64" s="467"/>
      <c r="I64" s="467"/>
      <c r="J64" s="468"/>
      <c r="K64" s="388"/>
      <c r="L64" s="382"/>
      <c r="R64" s="68"/>
      <c r="S64" s="68"/>
    </row>
    <row r="65" spans="2:19" ht="15.75" customHeight="1">
      <c r="B65" s="43"/>
      <c r="C65" s="71"/>
      <c r="D65" s="72"/>
      <c r="E65" s="10"/>
      <c r="F65" s="10"/>
      <c r="G65" s="10"/>
      <c r="H65" s="10"/>
      <c r="I65" s="10"/>
      <c r="J65" s="10"/>
      <c r="K65" s="73"/>
      <c r="L65" s="46"/>
      <c r="R65" s="74"/>
      <c r="S65" s="74"/>
    </row>
    <row r="66" spans="2:19" ht="15" customHeight="1" thickBot="1">
      <c r="B66" s="75"/>
      <c r="C66" s="76"/>
      <c r="D66" s="76"/>
      <c r="E66" s="76"/>
      <c r="F66" s="76"/>
      <c r="G66" s="76"/>
      <c r="H66" s="76"/>
      <c r="I66" s="76"/>
      <c r="J66" s="76"/>
      <c r="K66" s="76"/>
      <c r="L66" s="77"/>
      <c r="R66" s="78"/>
      <c r="S66" s="78"/>
    </row>
    <row r="67" spans="18:19" ht="12.75">
      <c r="R67" s="79"/>
      <c r="S67" s="79"/>
    </row>
  </sheetData>
  <sheetProtection password="BDDB" sheet="1" objects="1" scenarios="1" selectLockedCells="1"/>
  <mergeCells count="5">
    <mergeCell ref="D3:J3"/>
    <mergeCell ref="D4:J4"/>
    <mergeCell ref="D48:J64"/>
    <mergeCell ref="D11:J17"/>
    <mergeCell ref="D10:J10"/>
  </mergeCells>
  <printOptions/>
  <pageMargins left="0.7" right="0.7" top="0.75" bottom="0.75" header="0.3" footer="0.3"/>
  <pageSetup horizontalDpi="600" verticalDpi="600" orientation="landscape"/>
  <ignoredErrors>
    <ignoredError sqref="F37:J37" formulaRange="1"/>
  </ignoredErrors>
</worksheet>
</file>

<file path=xl/worksheets/sheet3.xml><?xml version="1.0" encoding="utf-8"?>
<worksheet xmlns="http://schemas.openxmlformats.org/spreadsheetml/2006/main" xmlns:r="http://schemas.openxmlformats.org/officeDocument/2006/relationships">
  <sheetPr>
    <tabColor theme="3"/>
    <pageSetUpPr fitToPage="1"/>
  </sheetPr>
  <dimension ref="A1:AW155"/>
  <sheetViews>
    <sheetView zoomScalePageLayoutView="0" workbookViewId="0" topLeftCell="A9">
      <selection activeCell="D14" sqref="D14"/>
    </sheetView>
  </sheetViews>
  <sheetFormatPr defaultColWidth="15.7109375" defaultRowHeight="15"/>
  <cols>
    <col min="1" max="1" width="3.00390625" style="80" customWidth="1"/>
    <col min="2" max="3" width="3.00390625" style="85" customWidth="1"/>
    <col min="4" max="4" width="33.140625" style="85" customWidth="1"/>
    <col min="5" max="5" width="3.00390625" style="80" customWidth="1"/>
    <col min="6" max="6" width="10.7109375" style="85" customWidth="1"/>
    <col min="7" max="7" width="14.7109375" style="85" customWidth="1"/>
    <col min="8" max="8" width="14.28125" style="85" customWidth="1"/>
    <col min="9" max="9" width="3.00390625" style="81" customWidth="1"/>
    <col min="10" max="10" width="3.00390625" style="80" customWidth="1"/>
    <col min="11" max="11" width="10.7109375" style="85" customWidth="1"/>
    <col min="12" max="13" width="14.7109375" style="85" customWidth="1"/>
    <col min="14" max="14" width="3.00390625" style="81" customWidth="1"/>
    <col min="15" max="15" width="10.7109375" style="85" customWidth="1"/>
    <col min="16" max="17" width="14.7109375" style="85" customWidth="1"/>
    <col min="18" max="18" width="3.00390625" style="81" customWidth="1"/>
    <col min="19" max="19" width="10.7109375" style="85" customWidth="1"/>
    <col min="20" max="21" width="14.7109375" style="85" customWidth="1"/>
    <col min="22" max="22" width="3.00390625" style="81" customWidth="1"/>
    <col min="23" max="23" width="10.7109375" style="85" customWidth="1"/>
    <col min="24" max="25" width="14.7109375" style="85" customWidth="1"/>
    <col min="26" max="26" width="3.00390625" style="81" customWidth="1"/>
    <col min="27" max="27" width="10.7109375" style="84" customWidth="1"/>
    <col min="28" max="29" width="14.7109375" style="84" customWidth="1"/>
    <col min="30" max="30" width="3.00390625" style="81" customWidth="1"/>
    <col min="31" max="31" width="3.00390625" style="84" customWidth="1"/>
    <col min="32" max="49" width="15.7109375" style="84" customWidth="1"/>
    <col min="50" max="16384" width="15.7109375" style="85" customWidth="1"/>
  </cols>
  <sheetData>
    <row r="1" spans="9:49" s="80" customFormat="1" ht="15" customHeight="1" thickBot="1">
      <c r="I1" s="81"/>
      <c r="N1" s="81"/>
      <c r="R1" s="81"/>
      <c r="V1" s="81"/>
      <c r="Z1" s="81"/>
      <c r="AA1" s="81"/>
      <c r="AB1" s="81"/>
      <c r="AC1" s="81"/>
      <c r="AD1" s="81"/>
      <c r="AE1" s="81"/>
      <c r="AF1" s="81"/>
      <c r="AG1" s="81"/>
      <c r="AH1" s="81"/>
      <c r="AI1" s="81"/>
      <c r="AJ1" s="81"/>
      <c r="AK1" s="81"/>
      <c r="AL1" s="81"/>
      <c r="AM1" s="81"/>
      <c r="AN1" s="81"/>
      <c r="AO1" s="81"/>
      <c r="AP1" s="81"/>
      <c r="AQ1" s="81"/>
      <c r="AR1" s="81"/>
      <c r="AS1" s="81"/>
      <c r="AT1" s="81"/>
      <c r="AU1" s="81"/>
      <c r="AV1" s="81"/>
      <c r="AW1" s="81"/>
    </row>
    <row r="2" spans="2:31" ht="15" customHeight="1">
      <c r="B2" s="82"/>
      <c r="C2" s="497" t="s">
        <v>495</v>
      </c>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83"/>
    </row>
    <row r="3" spans="2:31" ht="15" customHeight="1">
      <c r="B3" s="86"/>
      <c r="C3" s="87"/>
      <c r="D3" s="88" t="s">
        <v>61</v>
      </c>
      <c r="E3" s="88"/>
      <c r="F3" s="89" t="str">
        <f>IF(ISBLANK('1. Instructions'!$E$6),"Please enter School Name on Tab 1.",'1. Instructions'!$E$6)</f>
        <v>Steel City Academy</v>
      </c>
      <c r="G3" s="90"/>
      <c r="H3" s="90"/>
      <c r="I3" s="90"/>
      <c r="J3" s="88"/>
      <c r="K3" s="89"/>
      <c r="L3" s="90"/>
      <c r="M3" s="90"/>
      <c r="N3" s="90"/>
      <c r="O3" s="90"/>
      <c r="P3" s="90"/>
      <c r="Q3" s="90"/>
      <c r="R3" s="90"/>
      <c r="S3" s="90"/>
      <c r="T3" s="90"/>
      <c r="U3" s="90"/>
      <c r="V3" s="90"/>
      <c r="W3" s="90"/>
      <c r="X3" s="90"/>
      <c r="Y3" s="90"/>
      <c r="Z3" s="90"/>
      <c r="AA3" s="90"/>
      <c r="AB3" s="90"/>
      <c r="AC3" s="90"/>
      <c r="AD3" s="87"/>
      <c r="AE3" s="91"/>
    </row>
    <row r="4" spans="2:31" ht="15" customHeight="1">
      <c r="B4" s="86"/>
      <c r="C4" s="87"/>
      <c r="D4" s="88" t="s">
        <v>423</v>
      </c>
      <c r="E4" s="88"/>
      <c r="F4" s="89" t="str">
        <f>IF(ISBLANK('1. Instructions'!$E$8),"Please enter Renewal Year on Tab 1.",'1. Instructions'!$E$8)</f>
        <v>2021 - 22 SY</v>
      </c>
      <c r="G4" s="90"/>
      <c r="H4" s="90"/>
      <c r="I4" s="90"/>
      <c r="J4" s="88"/>
      <c r="K4" s="89"/>
      <c r="L4" s="90"/>
      <c r="M4" s="90"/>
      <c r="N4" s="90"/>
      <c r="O4" s="90"/>
      <c r="P4" s="90"/>
      <c r="Q4" s="90"/>
      <c r="R4" s="90"/>
      <c r="S4" s="90"/>
      <c r="T4" s="90"/>
      <c r="U4" s="90"/>
      <c r="V4" s="90"/>
      <c r="W4" s="90"/>
      <c r="X4" s="90"/>
      <c r="Y4" s="90"/>
      <c r="Z4" s="90"/>
      <c r="AA4" s="90"/>
      <c r="AB4" s="90"/>
      <c r="AC4" s="90"/>
      <c r="AD4" s="87"/>
      <c r="AE4" s="91"/>
    </row>
    <row r="5" spans="1:49" s="96" customFormat="1" ht="15" customHeight="1">
      <c r="A5" s="92"/>
      <c r="B5" s="93"/>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94"/>
      <c r="AF5" s="95"/>
      <c r="AG5" s="95"/>
      <c r="AH5" s="95"/>
      <c r="AI5" s="95"/>
      <c r="AJ5" s="95"/>
      <c r="AK5" s="95"/>
      <c r="AL5" s="95"/>
      <c r="AM5" s="95"/>
      <c r="AN5" s="95"/>
      <c r="AO5" s="95"/>
      <c r="AP5" s="95"/>
      <c r="AQ5" s="95"/>
      <c r="AR5" s="95"/>
      <c r="AS5" s="95"/>
      <c r="AT5" s="95"/>
      <c r="AU5" s="95"/>
      <c r="AV5" s="95"/>
      <c r="AW5" s="95"/>
    </row>
    <row r="6" spans="2:31" ht="15" customHeight="1">
      <c r="B6" s="86"/>
      <c r="C6" s="87"/>
      <c r="D6" s="97" t="s">
        <v>405</v>
      </c>
      <c r="E6" s="98"/>
      <c r="F6" s="98"/>
      <c r="G6" s="98"/>
      <c r="H6" s="98"/>
      <c r="I6" s="98"/>
      <c r="J6" s="98"/>
      <c r="K6" s="98"/>
      <c r="L6" s="98"/>
      <c r="M6" s="98"/>
      <c r="N6" s="98"/>
      <c r="O6" s="98"/>
      <c r="P6" s="98"/>
      <c r="Q6" s="98"/>
      <c r="R6" s="98"/>
      <c r="S6" s="98"/>
      <c r="T6" s="99"/>
      <c r="U6" s="87"/>
      <c r="V6" s="87"/>
      <c r="W6" s="87"/>
      <c r="X6" s="87"/>
      <c r="Y6" s="87"/>
      <c r="Z6" s="87"/>
      <c r="AA6" s="87"/>
      <c r="AB6" s="87"/>
      <c r="AC6" s="87"/>
      <c r="AD6" s="87"/>
      <c r="AE6" s="91"/>
    </row>
    <row r="7" spans="2:31" ht="15" customHeight="1">
      <c r="B7" s="86"/>
      <c r="C7" s="87"/>
      <c r="D7" s="318" t="s">
        <v>425</v>
      </c>
      <c r="E7" s="87"/>
      <c r="F7" s="87"/>
      <c r="G7" s="87"/>
      <c r="H7" s="87"/>
      <c r="I7" s="87"/>
      <c r="J7" s="87"/>
      <c r="K7" s="87"/>
      <c r="L7" s="87"/>
      <c r="M7" s="87"/>
      <c r="N7" s="87"/>
      <c r="O7" s="87"/>
      <c r="P7" s="87"/>
      <c r="Q7" s="87"/>
      <c r="R7" s="87"/>
      <c r="S7" s="87"/>
      <c r="T7" s="120"/>
      <c r="U7" s="87"/>
      <c r="V7" s="87"/>
      <c r="W7" s="87"/>
      <c r="X7" s="87"/>
      <c r="Y7" s="87"/>
      <c r="Z7" s="87"/>
      <c r="AA7" s="87"/>
      <c r="AB7" s="87"/>
      <c r="AC7" s="87"/>
      <c r="AD7" s="87"/>
      <c r="AE7" s="91"/>
    </row>
    <row r="8" spans="2:31" ht="15" customHeight="1">
      <c r="B8" s="86"/>
      <c r="C8" s="87"/>
      <c r="D8" s="171" t="s">
        <v>406</v>
      </c>
      <c r="E8" s="174"/>
      <c r="F8" s="174"/>
      <c r="G8" s="174"/>
      <c r="H8" s="174"/>
      <c r="I8" s="174"/>
      <c r="J8" s="174"/>
      <c r="K8" s="174"/>
      <c r="L8" s="174"/>
      <c r="M8" s="174"/>
      <c r="N8" s="174"/>
      <c r="O8" s="174"/>
      <c r="P8" s="174"/>
      <c r="Q8" s="174"/>
      <c r="R8" s="174"/>
      <c r="S8" s="174"/>
      <c r="T8" s="178"/>
      <c r="U8" s="87"/>
      <c r="V8" s="87"/>
      <c r="W8" s="87"/>
      <c r="X8" s="87"/>
      <c r="Y8" s="87"/>
      <c r="Z8" s="87"/>
      <c r="AA8" s="87"/>
      <c r="AB8" s="87"/>
      <c r="AC8" s="87"/>
      <c r="AD8" s="87"/>
      <c r="AE8" s="91"/>
    </row>
    <row r="9" spans="2:31" ht="15" customHeight="1">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91"/>
    </row>
    <row r="10" spans="2:31" ht="15" customHeight="1">
      <c r="B10" s="86"/>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9"/>
      <c r="AE10" s="91"/>
    </row>
    <row r="11" spans="2:36" ht="15" customHeight="1">
      <c r="B11" s="86"/>
      <c r="C11" s="100"/>
      <c r="D11" s="101"/>
      <c r="E11" s="101"/>
      <c r="F11" s="491" t="s">
        <v>494</v>
      </c>
      <c r="G11" s="492"/>
      <c r="H11" s="493"/>
      <c r="I11" s="102"/>
      <c r="J11" s="101"/>
      <c r="K11" s="491" t="s">
        <v>487</v>
      </c>
      <c r="L11" s="492"/>
      <c r="M11" s="493"/>
      <c r="N11" s="102"/>
      <c r="O11" s="491" t="s">
        <v>488</v>
      </c>
      <c r="P11" s="492"/>
      <c r="Q11" s="493"/>
      <c r="R11" s="102"/>
      <c r="S11" s="491" t="s">
        <v>489</v>
      </c>
      <c r="T11" s="492"/>
      <c r="U11" s="493"/>
      <c r="V11" s="102"/>
      <c r="W11" s="491" t="s">
        <v>490</v>
      </c>
      <c r="X11" s="492"/>
      <c r="Y11" s="493"/>
      <c r="Z11" s="102"/>
      <c r="AA11" s="491" t="s">
        <v>491</v>
      </c>
      <c r="AB11" s="492"/>
      <c r="AC11" s="493"/>
      <c r="AD11" s="103"/>
      <c r="AE11" s="104"/>
      <c r="AF11" s="105"/>
      <c r="AG11" s="105"/>
      <c r="AH11" s="105"/>
      <c r="AI11" s="105"/>
      <c r="AJ11" s="105"/>
    </row>
    <row r="12" spans="2:36" ht="30" customHeight="1">
      <c r="B12" s="86"/>
      <c r="C12" s="100"/>
      <c r="D12" s="101"/>
      <c r="E12" s="101"/>
      <c r="F12" s="106" t="s">
        <v>78</v>
      </c>
      <c r="G12" s="107" t="s">
        <v>404</v>
      </c>
      <c r="H12" s="108" t="s">
        <v>80</v>
      </c>
      <c r="I12" s="109"/>
      <c r="J12" s="101"/>
      <c r="K12" s="106" t="s">
        <v>78</v>
      </c>
      <c r="L12" s="107" t="s">
        <v>79</v>
      </c>
      <c r="M12" s="108" t="s">
        <v>80</v>
      </c>
      <c r="N12" s="109"/>
      <c r="O12" s="106" t="s">
        <v>78</v>
      </c>
      <c r="P12" s="106" t="s">
        <v>79</v>
      </c>
      <c r="Q12" s="106" t="s">
        <v>80</v>
      </c>
      <c r="R12" s="109"/>
      <c r="S12" s="106" t="s">
        <v>78</v>
      </c>
      <c r="T12" s="106" t="s">
        <v>79</v>
      </c>
      <c r="U12" s="106" t="s">
        <v>80</v>
      </c>
      <c r="V12" s="109"/>
      <c r="W12" s="106" t="s">
        <v>78</v>
      </c>
      <c r="X12" s="106" t="s">
        <v>79</v>
      </c>
      <c r="Y12" s="106" t="s">
        <v>80</v>
      </c>
      <c r="Z12" s="109"/>
      <c r="AA12" s="106" t="s">
        <v>78</v>
      </c>
      <c r="AB12" s="106" t="s">
        <v>79</v>
      </c>
      <c r="AC12" s="106" t="s">
        <v>80</v>
      </c>
      <c r="AD12" s="103"/>
      <c r="AE12" s="104"/>
      <c r="AF12" s="105"/>
      <c r="AG12" s="105"/>
      <c r="AH12" s="105"/>
      <c r="AI12" s="105"/>
      <c r="AJ12" s="105"/>
    </row>
    <row r="13" spans="2:49" ht="15" customHeight="1">
      <c r="B13" s="86"/>
      <c r="C13" s="100"/>
      <c r="D13" s="110" t="s">
        <v>52</v>
      </c>
      <c r="E13" s="111"/>
      <c r="F13" s="112"/>
      <c r="G13" s="113"/>
      <c r="H13" s="114"/>
      <c r="I13" s="115"/>
      <c r="J13" s="111"/>
      <c r="K13" s="112"/>
      <c r="L13" s="113"/>
      <c r="M13" s="114"/>
      <c r="N13" s="115"/>
      <c r="O13" s="116"/>
      <c r="P13" s="117"/>
      <c r="Q13" s="118"/>
      <c r="R13" s="119"/>
      <c r="S13" s="116"/>
      <c r="T13" s="117"/>
      <c r="U13" s="118"/>
      <c r="V13" s="119"/>
      <c r="W13" s="116"/>
      <c r="X13" s="117"/>
      <c r="Y13" s="118"/>
      <c r="Z13" s="119"/>
      <c r="AA13" s="116"/>
      <c r="AB13" s="117"/>
      <c r="AC13" s="118"/>
      <c r="AD13" s="120"/>
      <c r="AE13" s="91"/>
      <c r="AK13" s="85"/>
      <c r="AL13" s="85"/>
      <c r="AM13" s="85"/>
      <c r="AN13" s="85"/>
      <c r="AO13" s="85"/>
      <c r="AP13" s="85"/>
      <c r="AQ13" s="85"/>
      <c r="AR13" s="85"/>
      <c r="AS13" s="85"/>
      <c r="AT13" s="85"/>
      <c r="AU13" s="85"/>
      <c r="AV13" s="85"/>
      <c r="AW13" s="85"/>
    </row>
    <row r="14" spans="2:36" ht="15" customHeight="1">
      <c r="B14" s="86"/>
      <c r="C14" s="100"/>
      <c r="D14" s="391" t="s">
        <v>77</v>
      </c>
      <c r="E14" s="87"/>
      <c r="F14" s="389"/>
      <c r="G14" s="16">
        <v>0</v>
      </c>
      <c r="H14" s="121">
        <f>F14*G14</f>
        <v>0</v>
      </c>
      <c r="I14" s="122"/>
      <c r="J14" s="87"/>
      <c r="K14" s="389"/>
      <c r="L14" s="16">
        <v>0</v>
      </c>
      <c r="M14" s="121">
        <f>K14*L14</f>
        <v>0</v>
      </c>
      <c r="N14" s="122"/>
      <c r="O14" s="389"/>
      <c r="P14" s="16">
        <v>0</v>
      </c>
      <c r="Q14" s="121">
        <f>O14*P14</f>
        <v>0</v>
      </c>
      <c r="R14" s="122"/>
      <c r="S14" s="389"/>
      <c r="T14" s="16">
        <v>0</v>
      </c>
      <c r="U14" s="121">
        <f>S14*T14</f>
        <v>0</v>
      </c>
      <c r="V14" s="122"/>
      <c r="W14" s="389"/>
      <c r="X14" s="16">
        <v>0</v>
      </c>
      <c r="Y14" s="121">
        <f>W14*X14</f>
        <v>0</v>
      </c>
      <c r="Z14" s="122"/>
      <c r="AA14" s="389"/>
      <c r="AB14" s="16">
        <v>0</v>
      </c>
      <c r="AC14" s="121">
        <f>AA14*AB14</f>
        <v>0</v>
      </c>
      <c r="AD14" s="123"/>
      <c r="AE14" s="94"/>
      <c r="AF14" s="95"/>
      <c r="AG14" s="95"/>
      <c r="AH14" s="95"/>
      <c r="AI14" s="95"/>
      <c r="AJ14" s="95"/>
    </row>
    <row r="15" spans="2:36" ht="15" customHeight="1">
      <c r="B15" s="86"/>
      <c r="C15" s="100"/>
      <c r="D15" s="390" t="s">
        <v>439</v>
      </c>
      <c r="E15" s="87"/>
      <c r="F15" s="389">
        <v>5</v>
      </c>
      <c r="G15" s="16">
        <v>47000</v>
      </c>
      <c r="H15" s="121">
        <f aca="true" t="shared" si="0" ref="H15:H28">F15*G15</f>
        <v>235000</v>
      </c>
      <c r="I15" s="122"/>
      <c r="J15" s="87"/>
      <c r="K15" s="389">
        <v>6</v>
      </c>
      <c r="L15" s="16">
        <v>48175</v>
      </c>
      <c r="M15" s="121">
        <f aca="true" t="shared" si="1" ref="M15:M28">K15*L15</f>
        <v>289050</v>
      </c>
      <c r="N15" s="122"/>
      <c r="O15" s="389">
        <v>8</v>
      </c>
      <c r="P15" s="16">
        <v>49379.38</v>
      </c>
      <c r="Q15" s="121">
        <f aca="true" t="shared" si="2" ref="Q15:Q28">O15*P15</f>
        <v>395035.04</v>
      </c>
      <c r="R15" s="122"/>
      <c r="S15" s="389">
        <v>10</v>
      </c>
      <c r="T15" s="16">
        <v>50613.86</v>
      </c>
      <c r="U15" s="121">
        <f aca="true" t="shared" si="3" ref="U15:U28">S15*T15</f>
        <v>506138.6</v>
      </c>
      <c r="V15" s="122"/>
      <c r="W15" s="389">
        <v>12</v>
      </c>
      <c r="X15" s="16">
        <v>51879.21</v>
      </c>
      <c r="Y15" s="121">
        <f aca="true" t="shared" si="4" ref="Y15:Y28">W15*X15</f>
        <v>622550.52</v>
      </c>
      <c r="Z15" s="122"/>
      <c r="AA15" s="389">
        <v>16</v>
      </c>
      <c r="AB15" s="16">
        <v>53176.19</v>
      </c>
      <c r="AC15" s="121">
        <f aca="true" t="shared" si="5" ref="AC15:AC28">AA15*AB15</f>
        <v>850819.04</v>
      </c>
      <c r="AD15" s="123"/>
      <c r="AE15" s="94"/>
      <c r="AF15" s="95"/>
      <c r="AG15" s="95"/>
      <c r="AH15" s="95"/>
      <c r="AI15" s="95"/>
      <c r="AJ15" s="95"/>
    </row>
    <row r="16" spans="2:36" ht="15" customHeight="1">
      <c r="B16" s="86"/>
      <c r="C16" s="100"/>
      <c r="D16" s="390" t="s">
        <v>440</v>
      </c>
      <c r="E16" s="87"/>
      <c r="F16" s="389">
        <v>3</v>
      </c>
      <c r="G16" s="16">
        <v>52000</v>
      </c>
      <c r="H16" s="121">
        <f t="shared" si="0"/>
        <v>156000</v>
      </c>
      <c r="I16" s="122"/>
      <c r="J16" s="87"/>
      <c r="K16" s="389">
        <v>3</v>
      </c>
      <c r="L16" s="16">
        <v>52275</v>
      </c>
      <c r="M16" s="121">
        <f t="shared" si="1"/>
        <v>156825</v>
      </c>
      <c r="N16" s="122"/>
      <c r="O16" s="389">
        <v>3</v>
      </c>
      <c r="P16" s="16">
        <v>53581.88</v>
      </c>
      <c r="Q16" s="121">
        <f t="shared" si="2"/>
        <v>160745.63999999998</v>
      </c>
      <c r="R16" s="122"/>
      <c r="S16" s="389">
        <v>3</v>
      </c>
      <c r="T16" s="16">
        <v>54921.42</v>
      </c>
      <c r="U16" s="121">
        <f t="shared" si="3"/>
        <v>164764.26</v>
      </c>
      <c r="V16" s="122"/>
      <c r="W16" s="389">
        <v>3</v>
      </c>
      <c r="X16" s="16">
        <v>56294.46</v>
      </c>
      <c r="Y16" s="121">
        <f t="shared" si="4"/>
        <v>168883.38</v>
      </c>
      <c r="Z16" s="122"/>
      <c r="AA16" s="389">
        <v>3</v>
      </c>
      <c r="AB16" s="16">
        <v>57701.82</v>
      </c>
      <c r="AC16" s="121">
        <f t="shared" si="5"/>
        <v>173105.46</v>
      </c>
      <c r="AD16" s="123"/>
      <c r="AE16" s="94"/>
      <c r="AF16" s="95"/>
      <c r="AG16" s="95"/>
      <c r="AH16" s="95"/>
      <c r="AI16" s="95"/>
      <c r="AJ16" s="95"/>
    </row>
    <row r="17" spans="2:31" ht="15" customHeight="1">
      <c r="B17" s="86"/>
      <c r="C17" s="100"/>
      <c r="D17" s="390" t="s">
        <v>441</v>
      </c>
      <c r="E17" s="87"/>
      <c r="F17" s="389">
        <v>10</v>
      </c>
      <c r="G17" s="16">
        <v>53705</v>
      </c>
      <c r="H17" s="121">
        <f t="shared" si="0"/>
        <v>537050</v>
      </c>
      <c r="I17" s="122"/>
      <c r="J17" s="87"/>
      <c r="K17" s="389">
        <v>8</v>
      </c>
      <c r="L17" s="16">
        <v>55350</v>
      </c>
      <c r="M17" s="121">
        <f t="shared" si="1"/>
        <v>442800</v>
      </c>
      <c r="N17" s="122"/>
      <c r="O17" s="389">
        <v>8</v>
      </c>
      <c r="P17" s="16">
        <v>56733.75</v>
      </c>
      <c r="Q17" s="121">
        <f t="shared" si="2"/>
        <v>453870</v>
      </c>
      <c r="R17" s="122"/>
      <c r="S17" s="389">
        <v>8</v>
      </c>
      <c r="T17" s="16">
        <v>58152.09</v>
      </c>
      <c r="U17" s="121">
        <f t="shared" si="3"/>
        <v>465216.72</v>
      </c>
      <c r="V17" s="122"/>
      <c r="W17" s="389">
        <v>8</v>
      </c>
      <c r="X17" s="16">
        <v>59605.9</v>
      </c>
      <c r="Y17" s="121">
        <f t="shared" si="4"/>
        <v>476847.2</v>
      </c>
      <c r="Z17" s="122"/>
      <c r="AA17" s="389">
        <v>8</v>
      </c>
      <c r="AB17" s="16">
        <v>61096.04</v>
      </c>
      <c r="AC17" s="121">
        <f t="shared" si="5"/>
        <v>488768.32</v>
      </c>
      <c r="AD17" s="120"/>
      <c r="AE17" s="91"/>
    </row>
    <row r="18" spans="2:31" ht="15" customHeight="1">
      <c r="B18" s="86"/>
      <c r="C18" s="100"/>
      <c r="D18" s="390" t="s">
        <v>442</v>
      </c>
      <c r="E18" s="87"/>
      <c r="F18" s="389">
        <v>6</v>
      </c>
      <c r="G18" s="16">
        <v>32475</v>
      </c>
      <c r="H18" s="121">
        <f t="shared" si="0"/>
        <v>194850</v>
      </c>
      <c r="I18" s="122"/>
      <c r="J18" s="87"/>
      <c r="K18" s="389">
        <v>3</v>
      </c>
      <c r="L18" s="16">
        <v>32800</v>
      </c>
      <c r="M18" s="121">
        <f t="shared" si="1"/>
        <v>98400</v>
      </c>
      <c r="N18" s="122"/>
      <c r="O18" s="389">
        <v>3</v>
      </c>
      <c r="P18" s="16">
        <v>33620</v>
      </c>
      <c r="Q18" s="121">
        <f t="shared" si="2"/>
        <v>100860</v>
      </c>
      <c r="R18" s="122"/>
      <c r="S18" s="389">
        <v>3</v>
      </c>
      <c r="T18" s="16">
        <v>34460.5</v>
      </c>
      <c r="U18" s="121">
        <f t="shared" si="3"/>
        <v>103381.5</v>
      </c>
      <c r="V18" s="122"/>
      <c r="W18" s="389">
        <v>4</v>
      </c>
      <c r="X18" s="16">
        <v>35322.01</v>
      </c>
      <c r="Y18" s="121">
        <f t="shared" si="4"/>
        <v>141288.04</v>
      </c>
      <c r="Z18" s="122"/>
      <c r="AA18" s="389">
        <v>4</v>
      </c>
      <c r="AB18" s="16">
        <v>36205.06</v>
      </c>
      <c r="AC18" s="121">
        <f t="shared" si="5"/>
        <v>144820.24</v>
      </c>
      <c r="AD18" s="120"/>
      <c r="AE18" s="91"/>
    </row>
    <row r="19" spans="2:31" ht="15" customHeight="1">
      <c r="B19" s="86"/>
      <c r="C19" s="100"/>
      <c r="D19" s="390" t="s">
        <v>443</v>
      </c>
      <c r="E19" s="87"/>
      <c r="F19" s="389">
        <v>6</v>
      </c>
      <c r="G19" s="16">
        <v>45000</v>
      </c>
      <c r="H19" s="121">
        <f t="shared" si="0"/>
        <v>270000</v>
      </c>
      <c r="I19" s="122"/>
      <c r="J19" s="87"/>
      <c r="K19" s="389">
        <v>2</v>
      </c>
      <c r="L19" s="16">
        <v>45100</v>
      </c>
      <c r="M19" s="121">
        <f t="shared" si="1"/>
        <v>90200</v>
      </c>
      <c r="N19" s="122"/>
      <c r="O19" s="389">
        <v>2</v>
      </c>
      <c r="P19" s="16">
        <v>46227.5</v>
      </c>
      <c r="Q19" s="121">
        <f t="shared" si="2"/>
        <v>92455</v>
      </c>
      <c r="R19" s="122"/>
      <c r="S19" s="389">
        <v>2</v>
      </c>
      <c r="T19" s="16">
        <v>47383.19</v>
      </c>
      <c r="U19" s="121">
        <f t="shared" si="3"/>
        <v>94766.38</v>
      </c>
      <c r="V19" s="122"/>
      <c r="W19" s="389">
        <v>2</v>
      </c>
      <c r="X19" s="16">
        <v>48567.77</v>
      </c>
      <c r="Y19" s="121">
        <f t="shared" si="4"/>
        <v>97135.54</v>
      </c>
      <c r="Z19" s="122"/>
      <c r="AA19" s="389">
        <v>2</v>
      </c>
      <c r="AB19" s="16">
        <v>49781.96</v>
      </c>
      <c r="AC19" s="121">
        <f t="shared" si="5"/>
        <v>99563.92</v>
      </c>
      <c r="AD19" s="120"/>
      <c r="AE19" s="91"/>
    </row>
    <row r="20" spans="2:31" ht="15" customHeight="1">
      <c r="B20" s="86"/>
      <c r="C20" s="100"/>
      <c r="D20" s="390" t="s">
        <v>444</v>
      </c>
      <c r="E20" s="87"/>
      <c r="F20" s="389"/>
      <c r="G20" s="16">
        <v>0</v>
      </c>
      <c r="H20" s="121">
        <f t="shared" si="0"/>
        <v>0</v>
      </c>
      <c r="I20" s="122"/>
      <c r="J20" s="87"/>
      <c r="K20" s="389">
        <v>0</v>
      </c>
      <c r="L20" s="16">
        <v>35875</v>
      </c>
      <c r="M20" s="121">
        <f t="shared" si="1"/>
        <v>0</v>
      </c>
      <c r="N20" s="122"/>
      <c r="O20" s="389">
        <v>0</v>
      </c>
      <c r="P20" s="16">
        <v>36771.88</v>
      </c>
      <c r="Q20" s="121">
        <f t="shared" si="2"/>
        <v>0</v>
      </c>
      <c r="R20" s="122"/>
      <c r="S20" s="389">
        <v>0</v>
      </c>
      <c r="T20" s="16">
        <v>37691.17</v>
      </c>
      <c r="U20" s="121">
        <f t="shared" si="3"/>
        <v>0</v>
      </c>
      <c r="V20" s="122"/>
      <c r="W20" s="389">
        <v>1</v>
      </c>
      <c r="X20" s="16">
        <v>38633.45</v>
      </c>
      <c r="Y20" s="121">
        <f t="shared" si="4"/>
        <v>38633.45</v>
      </c>
      <c r="Z20" s="122"/>
      <c r="AA20" s="389">
        <v>1</v>
      </c>
      <c r="AB20" s="16">
        <v>39599.29</v>
      </c>
      <c r="AC20" s="121">
        <f t="shared" si="5"/>
        <v>39599.29</v>
      </c>
      <c r="AD20" s="120"/>
      <c r="AE20" s="91"/>
    </row>
    <row r="21" spans="2:31" ht="15" customHeight="1">
      <c r="B21" s="86"/>
      <c r="C21" s="100"/>
      <c r="D21" s="390" t="s">
        <v>445</v>
      </c>
      <c r="E21" s="87"/>
      <c r="F21" s="389">
        <v>2</v>
      </c>
      <c r="G21" s="16">
        <v>44000</v>
      </c>
      <c r="H21" s="121">
        <f t="shared" si="0"/>
        <v>88000</v>
      </c>
      <c r="I21" s="122"/>
      <c r="J21" s="87"/>
      <c r="K21" s="389">
        <v>2</v>
      </c>
      <c r="L21" s="16">
        <v>46133.2</v>
      </c>
      <c r="M21" s="121">
        <f t="shared" si="1"/>
        <v>92266.4</v>
      </c>
      <c r="N21" s="122"/>
      <c r="O21" s="389">
        <v>2</v>
      </c>
      <c r="P21" s="16">
        <v>47286.53</v>
      </c>
      <c r="Q21" s="121">
        <f aca="true" t="shared" si="6" ref="Q21:Q26">O21*P21</f>
        <v>94573.06</v>
      </c>
      <c r="R21" s="122"/>
      <c r="S21" s="389">
        <v>2</v>
      </c>
      <c r="T21" s="16">
        <v>48468.69</v>
      </c>
      <c r="U21" s="121">
        <f aca="true" t="shared" si="7" ref="U21:U26">S21*T21</f>
        <v>96937.38</v>
      </c>
      <c r="V21" s="122"/>
      <c r="W21" s="389">
        <v>2</v>
      </c>
      <c r="X21" s="16">
        <v>49680.41</v>
      </c>
      <c r="Y21" s="121">
        <f aca="true" t="shared" si="8" ref="Y21:Y26">W21*X21</f>
        <v>99360.82</v>
      </c>
      <c r="Z21" s="122"/>
      <c r="AA21" s="389">
        <v>2</v>
      </c>
      <c r="AB21" s="16">
        <v>50922.42</v>
      </c>
      <c r="AC21" s="121">
        <f aca="true" t="shared" si="9" ref="AC21:AC26">AA21*AB21</f>
        <v>101844.84</v>
      </c>
      <c r="AD21" s="120"/>
      <c r="AE21" s="91"/>
    </row>
    <row r="22" spans="2:31" ht="15" customHeight="1">
      <c r="B22" s="86"/>
      <c r="C22" s="100"/>
      <c r="D22" s="390"/>
      <c r="E22" s="87"/>
      <c r="F22" s="389"/>
      <c r="G22" s="16">
        <v>0</v>
      </c>
      <c r="H22" s="121">
        <f t="shared" si="0"/>
        <v>0</v>
      </c>
      <c r="I22" s="122"/>
      <c r="J22" s="87"/>
      <c r="K22" s="389"/>
      <c r="L22" s="16">
        <v>0</v>
      </c>
      <c r="M22" s="121">
        <f t="shared" si="1"/>
        <v>0</v>
      </c>
      <c r="N22" s="122"/>
      <c r="O22" s="389"/>
      <c r="P22" s="16">
        <v>0</v>
      </c>
      <c r="Q22" s="121">
        <f t="shared" si="6"/>
        <v>0</v>
      </c>
      <c r="R22" s="122"/>
      <c r="S22" s="389"/>
      <c r="T22" s="16">
        <v>0</v>
      </c>
      <c r="U22" s="121">
        <f t="shared" si="7"/>
        <v>0</v>
      </c>
      <c r="V22" s="122"/>
      <c r="W22" s="389"/>
      <c r="X22" s="16">
        <v>0</v>
      </c>
      <c r="Y22" s="121">
        <f t="shared" si="8"/>
        <v>0</v>
      </c>
      <c r="Z22" s="122"/>
      <c r="AA22" s="389"/>
      <c r="AB22" s="16">
        <v>0</v>
      </c>
      <c r="AC22" s="121">
        <f t="shared" si="9"/>
        <v>0</v>
      </c>
      <c r="AD22" s="120"/>
      <c r="AE22" s="91"/>
    </row>
    <row r="23" spans="2:31" ht="15" customHeight="1">
      <c r="B23" s="86"/>
      <c r="C23" s="100"/>
      <c r="D23" s="390"/>
      <c r="E23" s="87"/>
      <c r="F23" s="389"/>
      <c r="G23" s="16">
        <v>0</v>
      </c>
      <c r="H23" s="121">
        <f t="shared" si="0"/>
        <v>0</v>
      </c>
      <c r="I23" s="122"/>
      <c r="J23" s="87"/>
      <c r="K23" s="389"/>
      <c r="L23" s="16">
        <v>0</v>
      </c>
      <c r="M23" s="121">
        <f t="shared" si="1"/>
        <v>0</v>
      </c>
      <c r="N23" s="122"/>
      <c r="O23" s="389"/>
      <c r="P23" s="16">
        <v>0</v>
      </c>
      <c r="Q23" s="121">
        <f t="shared" si="6"/>
        <v>0</v>
      </c>
      <c r="R23" s="122"/>
      <c r="S23" s="389"/>
      <c r="T23" s="16">
        <v>0</v>
      </c>
      <c r="U23" s="121">
        <f t="shared" si="7"/>
        <v>0</v>
      </c>
      <c r="V23" s="122"/>
      <c r="W23" s="389"/>
      <c r="X23" s="16">
        <v>0</v>
      </c>
      <c r="Y23" s="121">
        <f t="shared" si="8"/>
        <v>0</v>
      </c>
      <c r="Z23" s="122"/>
      <c r="AA23" s="389"/>
      <c r="AB23" s="16">
        <v>0</v>
      </c>
      <c r="AC23" s="121">
        <f t="shared" si="9"/>
        <v>0</v>
      </c>
      <c r="AD23" s="120"/>
      <c r="AE23" s="91"/>
    </row>
    <row r="24" spans="2:31" ht="15" customHeight="1">
      <c r="B24" s="86"/>
      <c r="C24" s="100"/>
      <c r="D24" s="390"/>
      <c r="E24" s="87"/>
      <c r="F24" s="389"/>
      <c r="G24" s="16">
        <v>0</v>
      </c>
      <c r="H24" s="121">
        <f t="shared" si="0"/>
        <v>0</v>
      </c>
      <c r="I24" s="122"/>
      <c r="J24" s="87"/>
      <c r="K24" s="389"/>
      <c r="L24" s="16">
        <v>0</v>
      </c>
      <c r="M24" s="121">
        <f t="shared" si="1"/>
        <v>0</v>
      </c>
      <c r="N24" s="122"/>
      <c r="O24" s="389"/>
      <c r="P24" s="16">
        <v>0</v>
      </c>
      <c r="Q24" s="121">
        <f t="shared" si="6"/>
        <v>0</v>
      </c>
      <c r="R24" s="122"/>
      <c r="S24" s="389"/>
      <c r="T24" s="16">
        <v>0</v>
      </c>
      <c r="U24" s="121">
        <f t="shared" si="7"/>
        <v>0</v>
      </c>
      <c r="V24" s="122"/>
      <c r="W24" s="389"/>
      <c r="X24" s="16">
        <v>0</v>
      </c>
      <c r="Y24" s="121">
        <f t="shared" si="8"/>
        <v>0</v>
      </c>
      <c r="Z24" s="122"/>
      <c r="AA24" s="389"/>
      <c r="AB24" s="16">
        <v>0</v>
      </c>
      <c r="AC24" s="121">
        <f t="shared" si="9"/>
        <v>0</v>
      </c>
      <c r="AD24" s="120"/>
      <c r="AE24" s="91"/>
    </row>
    <row r="25" spans="2:31" ht="15" customHeight="1">
      <c r="B25" s="86"/>
      <c r="C25" s="100"/>
      <c r="D25" s="390"/>
      <c r="E25" s="87"/>
      <c r="F25" s="389"/>
      <c r="G25" s="16">
        <v>0</v>
      </c>
      <c r="H25" s="121">
        <f t="shared" si="0"/>
        <v>0</v>
      </c>
      <c r="I25" s="122"/>
      <c r="J25" s="87"/>
      <c r="K25" s="389"/>
      <c r="L25" s="16">
        <v>0</v>
      </c>
      <c r="M25" s="121">
        <f t="shared" si="1"/>
        <v>0</v>
      </c>
      <c r="N25" s="122"/>
      <c r="O25" s="389"/>
      <c r="P25" s="16">
        <v>0</v>
      </c>
      <c r="Q25" s="121">
        <f t="shared" si="6"/>
        <v>0</v>
      </c>
      <c r="R25" s="122"/>
      <c r="S25" s="389"/>
      <c r="T25" s="16">
        <v>0</v>
      </c>
      <c r="U25" s="121">
        <f t="shared" si="7"/>
        <v>0</v>
      </c>
      <c r="V25" s="122"/>
      <c r="W25" s="389"/>
      <c r="X25" s="16">
        <v>0</v>
      </c>
      <c r="Y25" s="121">
        <f t="shared" si="8"/>
        <v>0</v>
      </c>
      <c r="Z25" s="122"/>
      <c r="AA25" s="389"/>
      <c r="AB25" s="16">
        <v>0</v>
      </c>
      <c r="AC25" s="121">
        <f t="shared" si="9"/>
        <v>0</v>
      </c>
      <c r="AD25" s="120"/>
      <c r="AE25" s="91"/>
    </row>
    <row r="26" spans="2:31" ht="15" customHeight="1">
      <c r="B26" s="86"/>
      <c r="C26" s="100"/>
      <c r="D26" s="390"/>
      <c r="E26" s="87"/>
      <c r="F26" s="389"/>
      <c r="G26" s="16">
        <v>0</v>
      </c>
      <c r="H26" s="121">
        <f t="shared" si="0"/>
        <v>0</v>
      </c>
      <c r="I26" s="122"/>
      <c r="J26" s="87"/>
      <c r="K26" s="389"/>
      <c r="L26" s="16">
        <v>0</v>
      </c>
      <c r="M26" s="121">
        <f t="shared" si="1"/>
        <v>0</v>
      </c>
      <c r="N26" s="122"/>
      <c r="O26" s="389"/>
      <c r="P26" s="16">
        <v>0</v>
      </c>
      <c r="Q26" s="121">
        <f t="shared" si="6"/>
        <v>0</v>
      </c>
      <c r="R26" s="122"/>
      <c r="S26" s="389"/>
      <c r="T26" s="16">
        <v>0</v>
      </c>
      <c r="U26" s="121">
        <f t="shared" si="7"/>
        <v>0</v>
      </c>
      <c r="V26" s="122"/>
      <c r="W26" s="389"/>
      <c r="X26" s="16">
        <v>0</v>
      </c>
      <c r="Y26" s="121">
        <f t="shared" si="8"/>
        <v>0</v>
      </c>
      <c r="Z26" s="122"/>
      <c r="AA26" s="389"/>
      <c r="AB26" s="16">
        <v>0</v>
      </c>
      <c r="AC26" s="121">
        <f t="shared" si="9"/>
        <v>0</v>
      </c>
      <c r="AD26" s="120"/>
      <c r="AE26" s="91"/>
    </row>
    <row r="27" spans="2:31" ht="15" customHeight="1">
      <c r="B27" s="86"/>
      <c r="C27" s="100"/>
      <c r="D27" s="390"/>
      <c r="E27" s="87"/>
      <c r="F27" s="389"/>
      <c r="G27" s="16">
        <v>0</v>
      </c>
      <c r="H27" s="121">
        <f t="shared" si="0"/>
        <v>0</v>
      </c>
      <c r="I27" s="122"/>
      <c r="J27" s="87"/>
      <c r="K27" s="389"/>
      <c r="L27" s="16">
        <v>0</v>
      </c>
      <c r="M27" s="121">
        <f t="shared" si="1"/>
        <v>0</v>
      </c>
      <c r="N27" s="122"/>
      <c r="O27" s="389"/>
      <c r="P27" s="16">
        <v>0</v>
      </c>
      <c r="Q27" s="121">
        <f t="shared" si="2"/>
        <v>0</v>
      </c>
      <c r="R27" s="122"/>
      <c r="S27" s="389"/>
      <c r="T27" s="16">
        <v>0</v>
      </c>
      <c r="U27" s="121">
        <f t="shared" si="3"/>
        <v>0</v>
      </c>
      <c r="V27" s="122"/>
      <c r="W27" s="389"/>
      <c r="X27" s="16">
        <v>0</v>
      </c>
      <c r="Y27" s="121">
        <f t="shared" si="4"/>
        <v>0</v>
      </c>
      <c r="Z27" s="122"/>
      <c r="AA27" s="389"/>
      <c r="AB27" s="16">
        <v>0</v>
      </c>
      <c r="AC27" s="121">
        <f t="shared" si="5"/>
        <v>0</v>
      </c>
      <c r="AD27" s="120"/>
      <c r="AE27" s="91"/>
    </row>
    <row r="28" spans="2:31" ht="15" customHeight="1">
      <c r="B28" s="86"/>
      <c r="C28" s="100"/>
      <c r="D28" s="392"/>
      <c r="E28" s="124"/>
      <c r="F28" s="389"/>
      <c r="G28" s="16">
        <v>0</v>
      </c>
      <c r="H28" s="121">
        <f t="shared" si="0"/>
        <v>0</v>
      </c>
      <c r="I28" s="122"/>
      <c r="J28" s="124"/>
      <c r="K28" s="389"/>
      <c r="L28" s="16">
        <v>0</v>
      </c>
      <c r="M28" s="121">
        <f t="shared" si="1"/>
        <v>0</v>
      </c>
      <c r="N28" s="122"/>
      <c r="O28" s="389"/>
      <c r="P28" s="16">
        <v>0</v>
      </c>
      <c r="Q28" s="121">
        <f t="shared" si="2"/>
        <v>0</v>
      </c>
      <c r="R28" s="122"/>
      <c r="S28" s="389"/>
      <c r="T28" s="16">
        <v>0</v>
      </c>
      <c r="U28" s="121">
        <f t="shared" si="3"/>
        <v>0</v>
      </c>
      <c r="V28" s="122"/>
      <c r="W28" s="389"/>
      <c r="X28" s="16">
        <v>0</v>
      </c>
      <c r="Y28" s="121">
        <f t="shared" si="4"/>
        <v>0</v>
      </c>
      <c r="Z28" s="122"/>
      <c r="AA28" s="389"/>
      <c r="AB28" s="16">
        <v>0</v>
      </c>
      <c r="AC28" s="121">
        <f t="shared" si="5"/>
        <v>0</v>
      </c>
      <c r="AD28" s="120"/>
      <c r="AE28" s="91" t="s">
        <v>2</v>
      </c>
    </row>
    <row r="29" spans="2:31" ht="15" customHeight="1">
      <c r="B29" s="86"/>
      <c r="C29" s="100"/>
      <c r="D29" s="125" t="s">
        <v>29</v>
      </c>
      <c r="E29" s="88"/>
      <c r="F29" s="126">
        <f>SUM(F14:F28)</f>
        <v>32</v>
      </c>
      <c r="G29" s="127"/>
      <c r="H29" s="128">
        <f>SUM(H14:H28)</f>
        <v>1480900</v>
      </c>
      <c r="I29" s="129"/>
      <c r="J29" s="88"/>
      <c r="K29" s="126">
        <f>SUM(K14:K28)</f>
        <v>24</v>
      </c>
      <c r="L29" s="127"/>
      <c r="M29" s="128">
        <f>SUM(M14:M28)</f>
        <v>1169541.4</v>
      </c>
      <c r="N29" s="129"/>
      <c r="O29" s="126">
        <f>SUM(O14:O28)</f>
        <v>26</v>
      </c>
      <c r="P29" s="127"/>
      <c r="Q29" s="128">
        <f>SUM(Q14:Q28)</f>
        <v>1297538.74</v>
      </c>
      <c r="R29" s="129"/>
      <c r="S29" s="126">
        <f>SUM(S14:S28)</f>
        <v>28</v>
      </c>
      <c r="T29" s="127"/>
      <c r="U29" s="128">
        <f>SUM(U14:U28)</f>
        <v>1431204.8399999999</v>
      </c>
      <c r="V29" s="129"/>
      <c r="W29" s="126">
        <f>SUM(W14:W28)</f>
        <v>32</v>
      </c>
      <c r="X29" s="127"/>
      <c r="Y29" s="128">
        <f>SUM(Y14:Y28)</f>
        <v>1644698.9500000002</v>
      </c>
      <c r="Z29" s="129"/>
      <c r="AA29" s="126">
        <f>SUM(AA14:AA28)</f>
        <v>36</v>
      </c>
      <c r="AB29" s="127"/>
      <c r="AC29" s="128">
        <f>SUM(AC14:AC28)</f>
        <v>1898521.11</v>
      </c>
      <c r="AD29" s="120"/>
      <c r="AE29" s="91"/>
    </row>
    <row r="30" spans="2:31" ht="15" customHeight="1">
      <c r="B30" s="86"/>
      <c r="C30" s="100"/>
      <c r="D30" s="130"/>
      <c r="E30" s="88"/>
      <c r="F30" s="131"/>
      <c r="G30" s="132"/>
      <c r="H30" s="133"/>
      <c r="I30" s="88"/>
      <c r="J30" s="88"/>
      <c r="K30" s="131"/>
      <c r="L30" s="132"/>
      <c r="M30" s="133"/>
      <c r="N30" s="88"/>
      <c r="O30" s="131"/>
      <c r="P30" s="132"/>
      <c r="Q30" s="133"/>
      <c r="R30" s="88"/>
      <c r="S30" s="131"/>
      <c r="T30" s="132"/>
      <c r="U30" s="133"/>
      <c r="V30" s="88"/>
      <c r="W30" s="131"/>
      <c r="X30" s="132"/>
      <c r="Y30" s="133"/>
      <c r="Z30" s="88"/>
      <c r="AA30" s="131"/>
      <c r="AB30" s="132"/>
      <c r="AC30" s="133"/>
      <c r="AD30" s="120"/>
      <c r="AE30" s="91"/>
    </row>
    <row r="31" spans="2:36" ht="15" customHeight="1">
      <c r="B31" s="86"/>
      <c r="C31" s="100"/>
      <c r="D31" s="110" t="s">
        <v>53</v>
      </c>
      <c r="E31" s="111"/>
      <c r="F31" s="134"/>
      <c r="G31" s="135"/>
      <c r="H31" s="136"/>
      <c r="I31" s="90"/>
      <c r="J31" s="111"/>
      <c r="K31" s="134"/>
      <c r="L31" s="135"/>
      <c r="M31" s="136"/>
      <c r="N31" s="90"/>
      <c r="O31" s="137"/>
      <c r="P31" s="138"/>
      <c r="Q31" s="139"/>
      <c r="R31" s="119"/>
      <c r="S31" s="137"/>
      <c r="T31" s="138"/>
      <c r="U31" s="139"/>
      <c r="V31" s="119"/>
      <c r="W31" s="137"/>
      <c r="X31" s="138"/>
      <c r="Y31" s="139"/>
      <c r="Z31" s="119"/>
      <c r="AA31" s="137"/>
      <c r="AB31" s="138"/>
      <c r="AC31" s="139"/>
      <c r="AD31" s="123"/>
      <c r="AE31" s="94"/>
      <c r="AF31" s="95"/>
      <c r="AG31" s="95"/>
      <c r="AH31" s="95"/>
      <c r="AI31" s="95"/>
      <c r="AJ31" s="95"/>
    </row>
    <row r="32" spans="2:36" ht="15" customHeight="1">
      <c r="B32" s="86"/>
      <c r="C32" s="100"/>
      <c r="D32" s="391" t="s">
        <v>77</v>
      </c>
      <c r="E32" s="87"/>
      <c r="F32" s="389"/>
      <c r="G32" s="16">
        <v>0</v>
      </c>
      <c r="H32" s="121">
        <f>F32*G32</f>
        <v>0</v>
      </c>
      <c r="I32" s="122"/>
      <c r="J32" s="87"/>
      <c r="K32" s="389"/>
      <c r="L32" s="16">
        <v>0</v>
      </c>
      <c r="M32" s="121">
        <f>K32*L32</f>
        <v>0</v>
      </c>
      <c r="N32" s="122"/>
      <c r="O32" s="389"/>
      <c r="P32" s="16">
        <v>0</v>
      </c>
      <c r="Q32" s="121">
        <f>O32*P32</f>
        <v>0</v>
      </c>
      <c r="R32" s="122"/>
      <c r="S32" s="389"/>
      <c r="T32" s="16">
        <v>0</v>
      </c>
      <c r="U32" s="121">
        <f>S32*T32</f>
        <v>0</v>
      </c>
      <c r="V32" s="122"/>
      <c r="W32" s="389"/>
      <c r="X32" s="16">
        <v>0</v>
      </c>
      <c r="Y32" s="121">
        <f>W32*X32</f>
        <v>0</v>
      </c>
      <c r="Z32" s="122"/>
      <c r="AA32" s="389"/>
      <c r="AB32" s="16">
        <v>0</v>
      </c>
      <c r="AC32" s="121">
        <f>AA32*AB32</f>
        <v>0</v>
      </c>
      <c r="AD32" s="123"/>
      <c r="AE32" s="94"/>
      <c r="AF32" s="95"/>
      <c r="AG32" s="95"/>
      <c r="AH32" s="95"/>
      <c r="AI32" s="95"/>
      <c r="AJ32" s="95"/>
    </row>
    <row r="33" spans="2:32" ht="15" customHeight="1">
      <c r="B33" s="86"/>
      <c r="C33" s="100"/>
      <c r="D33" s="390" t="s">
        <v>446</v>
      </c>
      <c r="E33" s="87"/>
      <c r="F33" s="389">
        <v>1</v>
      </c>
      <c r="G33" s="16">
        <v>124025</v>
      </c>
      <c r="H33" s="121">
        <f aca="true" t="shared" si="10" ref="H33:H46">F33*G33</f>
        <v>124025</v>
      </c>
      <c r="I33" s="122"/>
      <c r="J33" s="87"/>
      <c r="K33" s="389">
        <v>1</v>
      </c>
      <c r="L33" s="16">
        <v>127100</v>
      </c>
      <c r="M33" s="121">
        <f aca="true" t="shared" si="11" ref="M33:M46">K33*L33</f>
        <v>127100</v>
      </c>
      <c r="N33" s="122"/>
      <c r="O33" s="389">
        <v>1</v>
      </c>
      <c r="P33" s="16">
        <v>130277.5</v>
      </c>
      <c r="Q33" s="121">
        <f aca="true" t="shared" si="12" ref="Q33:Q46">O33*P33</f>
        <v>130277.5</v>
      </c>
      <c r="R33" s="140"/>
      <c r="S33" s="389">
        <v>1</v>
      </c>
      <c r="T33" s="16">
        <v>133534.44</v>
      </c>
      <c r="U33" s="121">
        <f aca="true" t="shared" si="13" ref="U33:U46">S33*T33</f>
        <v>133534.44</v>
      </c>
      <c r="V33" s="140"/>
      <c r="W33" s="389">
        <v>1</v>
      </c>
      <c r="X33" s="16">
        <v>136872.8</v>
      </c>
      <c r="Y33" s="121">
        <f aca="true" t="shared" si="14" ref="Y33:Y46">W33*X33</f>
        <v>136872.8</v>
      </c>
      <c r="Z33" s="140"/>
      <c r="AA33" s="389">
        <v>1</v>
      </c>
      <c r="AB33" s="16">
        <v>140294.62</v>
      </c>
      <c r="AC33" s="121">
        <f aca="true" t="shared" si="15" ref="AC33:AC46">AA33*AB33</f>
        <v>140294.62</v>
      </c>
      <c r="AD33" s="141"/>
      <c r="AE33" s="91"/>
      <c r="AF33" s="84" t="s">
        <v>2</v>
      </c>
    </row>
    <row r="34" spans="2:31" ht="15" customHeight="1">
      <c r="B34" s="86"/>
      <c r="C34" s="100"/>
      <c r="D34" s="390" t="s">
        <v>447</v>
      </c>
      <c r="E34" s="87"/>
      <c r="F34" s="389">
        <v>2</v>
      </c>
      <c r="G34" s="16">
        <v>101750</v>
      </c>
      <c r="H34" s="121">
        <f t="shared" si="10"/>
        <v>203500</v>
      </c>
      <c r="I34" s="122"/>
      <c r="J34" s="87"/>
      <c r="K34" s="389">
        <v>2</v>
      </c>
      <c r="L34" s="16">
        <v>104293.75</v>
      </c>
      <c r="M34" s="121">
        <f t="shared" si="11"/>
        <v>208587.5</v>
      </c>
      <c r="N34" s="122"/>
      <c r="O34" s="389">
        <v>2</v>
      </c>
      <c r="P34" s="16">
        <v>106901.09</v>
      </c>
      <c r="Q34" s="121">
        <f t="shared" si="12"/>
        <v>213802.18</v>
      </c>
      <c r="R34" s="140"/>
      <c r="S34" s="389">
        <v>2</v>
      </c>
      <c r="T34" s="16">
        <v>109573.62</v>
      </c>
      <c r="U34" s="121">
        <f t="shared" si="13"/>
        <v>219147.24</v>
      </c>
      <c r="V34" s="140"/>
      <c r="W34" s="389">
        <v>2</v>
      </c>
      <c r="X34" s="16">
        <v>112312.96</v>
      </c>
      <c r="Y34" s="121">
        <f t="shared" si="14"/>
        <v>224625.92</v>
      </c>
      <c r="Z34" s="140"/>
      <c r="AA34" s="389">
        <v>2</v>
      </c>
      <c r="AB34" s="16">
        <v>115120.79</v>
      </c>
      <c r="AC34" s="121">
        <f t="shared" si="15"/>
        <v>230241.58</v>
      </c>
      <c r="AD34" s="141"/>
      <c r="AE34" s="91"/>
    </row>
    <row r="35" spans="2:31" ht="15" customHeight="1">
      <c r="B35" s="86"/>
      <c r="C35" s="100"/>
      <c r="D35" s="390" t="s">
        <v>448</v>
      </c>
      <c r="E35" s="142"/>
      <c r="F35" s="389">
        <v>1</v>
      </c>
      <c r="G35" s="16">
        <v>85000</v>
      </c>
      <c r="H35" s="121">
        <f t="shared" si="10"/>
        <v>85000</v>
      </c>
      <c r="I35" s="122"/>
      <c r="J35" s="142"/>
      <c r="K35" s="389">
        <v>1</v>
      </c>
      <c r="L35" s="16">
        <v>87125</v>
      </c>
      <c r="M35" s="121">
        <f t="shared" si="11"/>
        <v>87125</v>
      </c>
      <c r="N35" s="122"/>
      <c r="O35" s="389">
        <v>1</v>
      </c>
      <c r="P35" s="16">
        <v>89303.13</v>
      </c>
      <c r="Q35" s="121">
        <f t="shared" si="12"/>
        <v>89303.13</v>
      </c>
      <c r="R35" s="140"/>
      <c r="S35" s="389">
        <v>1</v>
      </c>
      <c r="T35" s="16">
        <v>91535.7</v>
      </c>
      <c r="U35" s="121">
        <f t="shared" si="13"/>
        <v>91535.7</v>
      </c>
      <c r="V35" s="140"/>
      <c r="W35" s="389">
        <v>1</v>
      </c>
      <c r="X35" s="16">
        <v>93824.1</v>
      </c>
      <c r="Y35" s="121">
        <f t="shared" si="14"/>
        <v>93824.1</v>
      </c>
      <c r="Z35" s="140"/>
      <c r="AA35" s="389">
        <v>1</v>
      </c>
      <c r="AB35" s="16">
        <v>96169.7</v>
      </c>
      <c r="AC35" s="121">
        <f t="shared" si="15"/>
        <v>96169.7</v>
      </c>
      <c r="AD35" s="141" t="s">
        <v>2</v>
      </c>
      <c r="AE35" s="91"/>
    </row>
    <row r="36" spans="2:31" ht="15" customHeight="1">
      <c r="B36" s="86"/>
      <c r="C36" s="100"/>
      <c r="D36" s="390" t="s">
        <v>449</v>
      </c>
      <c r="E36" s="142"/>
      <c r="F36" s="389">
        <v>1</v>
      </c>
      <c r="G36" s="16">
        <v>7000</v>
      </c>
      <c r="H36" s="121">
        <f t="shared" si="10"/>
        <v>7000</v>
      </c>
      <c r="I36" s="122"/>
      <c r="J36" s="142"/>
      <c r="K36" s="389">
        <v>1</v>
      </c>
      <c r="L36" s="16">
        <v>71750</v>
      </c>
      <c r="M36" s="121">
        <f aca="true" t="shared" si="16" ref="M36:M41">K36*L36</f>
        <v>71750</v>
      </c>
      <c r="N36" s="122"/>
      <c r="O36" s="389">
        <v>1</v>
      </c>
      <c r="P36" s="16">
        <v>73543.75</v>
      </c>
      <c r="Q36" s="121">
        <f aca="true" t="shared" si="17" ref="Q36:Q41">O36*P36</f>
        <v>73543.75</v>
      </c>
      <c r="R36" s="140"/>
      <c r="S36" s="389">
        <v>1</v>
      </c>
      <c r="T36" s="16">
        <v>75382.34</v>
      </c>
      <c r="U36" s="121">
        <f aca="true" t="shared" si="18" ref="U36:U41">S36*T36</f>
        <v>75382.34</v>
      </c>
      <c r="V36" s="140"/>
      <c r="W36" s="389">
        <v>1</v>
      </c>
      <c r="X36" s="16">
        <v>77266.9</v>
      </c>
      <c r="Y36" s="121">
        <f aca="true" t="shared" si="19" ref="Y36:Y41">W36*X36</f>
        <v>77266.9</v>
      </c>
      <c r="Z36" s="140"/>
      <c r="AA36" s="389">
        <v>1</v>
      </c>
      <c r="AB36" s="16">
        <v>79198.57</v>
      </c>
      <c r="AC36" s="121">
        <f aca="true" t="shared" si="20" ref="AC36:AC41">AA36*AB36</f>
        <v>79198.57</v>
      </c>
      <c r="AD36" s="141"/>
      <c r="AE36" s="91"/>
    </row>
    <row r="37" spans="2:31" ht="15" customHeight="1">
      <c r="B37" s="86"/>
      <c r="C37" s="100"/>
      <c r="D37" s="390" t="s">
        <v>450</v>
      </c>
      <c r="E37" s="142"/>
      <c r="F37" s="389">
        <v>2</v>
      </c>
      <c r="G37" s="16">
        <v>83750</v>
      </c>
      <c r="H37" s="121">
        <f t="shared" si="10"/>
        <v>167500</v>
      </c>
      <c r="I37" s="122"/>
      <c r="J37" s="142"/>
      <c r="K37" s="389">
        <v>2</v>
      </c>
      <c r="L37" s="16">
        <v>84050</v>
      </c>
      <c r="M37" s="121">
        <f t="shared" si="16"/>
        <v>168100</v>
      </c>
      <c r="N37" s="122"/>
      <c r="O37" s="389">
        <v>2</v>
      </c>
      <c r="P37" s="16">
        <v>86151.25</v>
      </c>
      <c r="Q37" s="121">
        <f t="shared" si="17"/>
        <v>172302.5</v>
      </c>
      <c r="R37" s="140"/>
      <c r="S37" s="389">
        <v>2</v>
      </c>
      <c r="T37" s="16">
        <v>88305.03</v>
      </c>
      <c r="U37" s="121">
        <f t="shared" si="18"/>
        <v>176610.06</v>
      </c>
      <c r="V37" s="140"/>
      <c r="W37" s="389">
        <v>2</v>
      </c>
      <c r="X37" s="16">
        <v>90512.66</v>
      </c>
      <c r="Y37" s="121">
        <f t="shared" si="19"/>
        <v>181025.32</v>
      </c>
      <c r="Z37" s="140"/>
      <c r="AA37" s="389">
        <v>2</v>
      </c>
      <c r="AB37" s="16">
        <v>92775.47</v>
      </c>
      <c r="AC37" s="121">
        <f t="shared" si="20"/>
        <v>185550.94</v>
      </c>
      <c r="AD37" s="141"/>
      <c r="AE37" s="91"/>
    </row>
    <row r="38" spans="2:31" ht="15" customHeight="1">
      <c r="B38" s="86"/>
      <c r="C38" s="100"/>
      <c r="D38" s="390" t="s">
        <v>451</v>
      </c>
      <c r="E38" s="142"/>
      <c r="F38" s="389">
        <v>1</v>
      </c>
      <c r="G38" s="16">
        <v>72000</v>
      </c>
      <c r="H38" s="121">
        <f t="shared" si="10"/>
        <v>72000</v>
      </c>
      <c r="I38" s="122"/>
      <c r="J38" s="142"/>
      <c r="K38" s="389">
        <v>1</v>
      </c>
      <c r="L38" s="16">
        <v>73800</v>
      </c>
      <c r="M38" s="121">
        <f t="shared" si="16"/>
        <v>73800</v>
      </c>
      <c r="N38" s="122"/>
      <c r="O38" s="389">
        <v>1</v>
      </c>
      <c r="P38" s="16">
        <v>75645</v>
      </c>
      <c r="Q38" s="121">
        <f t="shared" si="17"/>
        <v>75645</v>
      </c>
      <c r="R38" s="140"/>
      <c r="S38" s="389">
        <v>1</v>
      </c>
      <c r="T38" s="16">
        <v>77536.13</v>
      </c>
      <c r="U38" s="121">
        <f t="shared" si="18"/>
        <v>77536.13</v>
      </c>
      <c r="V38" s="140"/>
      <c r="W38" s="389">
        <v>1</v>
      </c>
      <c r="X38" s="16">
        <v>79474.53</v>
      </c>
      <c r="Y38" s="121">
        <f t="shared" si="19"/>
        <v>79474.53</v>
      </c>
      <c r="Z38" s="140"/>
      <c r="AA38" s="389">
        <v>1</v>
      </c>
      <c r="AB38" s="16">
        <v>81461.39</v>
      </c>
      <c r="AC38" s="121">
        <f t="shared" si="20"/>
        <v>81461.39</v>
      </c>
      <c r="AD38" s="141"/>
      <c r="AE38" s="91"/>
    </row>
    <row r="39" spans="2:31" ht="15" customHeight="1">
      <c r="B39" s="86"/>
      <c r="C39" s="100"/>
      <c r="D39" s="390" t="s">
        <v>452</v>
      </c>
      <c r="E39" s="142"/>
      <c r="F39" s="389">
        <v>2</v>
      </c>
      <c r="G39" s="16">
        <v>45370</v>
      </c>
      <c r="H39" s="121">
        <f t="shared" si="10"/>
        <v>90740</v>
      </c>
      <c r="I39" s="122"/>
      <c r="J39" s="142"/>
      <c r="K39" s="389">
        <v>2</v>
      </c>
      <c r="L39" s="16">
        <v>47150</v>
      </c>
      <c r="M39" s="121">
        <f t="shared" si="16"/>
        <v>94300</v>
      </c>
      <c r="N39" s="122"/>
      <c r="O39" s="389">
        <v>2</v>
      </c>
      <c r="P39" s="16">
        <v>48328.75</v>
      </c>
      <c r="Q39" s="121">
        <f t="shared" si="17"/>
        <v>96657.5</v>
      </c>
      <c r="R39" s="140"/>
      <c r="S39" s="389">
        <v>2</v>
      </c>
      <c r="T39" s="16">
        <v>49536.97</v>
      </c>
      <c r="U39" s="121">
        <f t="shared" si="18"/>
        <v>99073.94</v>
      </c>
      <c r="V39" s="140"/>
      <c r="W39" s="389">
        <v>2</v>
      </c>
      <c r="X39" s="16">
        <v>50775.39</v>
      </c>
      <c r="Y39" s="121">
        <f t="shared" si="19"/>
        <v>101550.78</v>
      </c>
      <c r="Z39" s="140"/>
      <c r="AA39" s="389">
        <v>2</v>
      </c>
      <c r="AB39" s="16">
        <v>52044.78</v>
      </c>
      <c r="AC39" s="121">
        <f t="shared" si="20"/>
        <v>104089.56</v>
      </c>
      <c r="AD39" s="141"/>
      <c r="AE39" s="91"/>
    </row>
    <row r="40" spans="2:31" ht="15" customHeight="1">
      <c r="B40" s="86"/>
      <c r="C40" s="100"/>
      <c r="D40" s="390" t="s">
        <v>453</v>
      </c>
      <c r="E40" s="142"/>
      <c r="F40" s="389">
        <v>2</v>
      </c>
      <c r="G40" s="16">
        <v>48000</v>
      </c>
      <c r="H40" s="121">
        <f t="shared" si="10"/>
        <v>96000</v>
      </c>
      <c r="I40" s="122"/>
      <c r="J40" s="142"/>
      <c r="K40" s="389">
        <v>2</v>
      </c>
      <c r="L40" s="16">
        <v>38950</v>
      </c>
      <c r="M40" s="121">
        <f t="shared" si="16"/>
        <v>77900</v>
      </c>
      <c r="N40" s="122"/>
      <c r="O40" s="389">
        <v>2</v>
      </c>
      <c r="P40" s="16">
        <v>39923.75</v>
      </c>
      <c r="Q40" s="121">
        <f t="shared" si="17"/>
        <v>79847.5</v>
      </c>
      <c r="R40" s="140"/>
      <c r="S40" s="389">
        <v>3</v>
      </c>
      <c r="T40" s="16">
        <v>40921.84</v>
      </c>
      <c r="U40" s="121">
        <f t="shared" si="18"/>
        <v>122765.51999999999</v>
      </c>
      <c r="V40" s="140"/>
      <c r="W40" s="389">
        <v>3</v>
      </c>
      <c r="X40" s="16">
        <v>41944.89</v>
      </c>
      <c r="Y40" s="121">
        <f t="shared" si="19"/>
        <v>125834.67</v>
      </c>
      <c r="Z40" s="140"/>
      <c r="AA40" s="389">
        <v>3</v>
      </c>
      <c r="AB40" s="16">
        <v>42993.51</v>
      </c>
      <c r="AC40" s="121">
        <f t="shared" si="20"/>
        <v>128980.53</v>
      </c>
      <c r="AD40" s="141"/>
      <c r="AE40" s="91"/>
    </row>
    <row r="41" spans="2:31" ht="15" customHeight="1">
      <c r="B41" s="86"/>
      <c r="C41" s="100"/>
      <c r="D41" s="390" t="s">
        <v>454</v>
      </c>
      <c r="E41" s="142"/>
      <c r="F41" s="389">
        <v>2</v>
      </c>
      <c r="G41" s="16">
        <v>34450</v>
      </c>
      <c r="H41" s="121">
        <f t="shared" si="10"/>
        <v>68900</v>
      </c>
      <c r="I41" s="122"/>
      <c r="J41" s="142"/>
      <c r="K41" s="389">
        <v>2</v>
      </c>
      <c r="L41" s="16">
        <v>35362.5</v>
      </c>
      <c r="M41" s="121">
        <f t="shared" si="16"/>
        <v>70725</v>
      </c>
      <c r="N41" s="122"/>
      <c r="O41" s="389">
        <v>2</v>
      </c>
      <c r="P41" s="16">
        <v>36246.56</v>
      </c>
      <c r="Q41" s="121">
        <f t="shared" si="17"/>
        <v>72493.12</v>
      </c>
      <c r="R41" s="140"/>
      <c r="S41" s="389">
        <v>2</v>
      </c>
      <c r="T41" s="16">
        <v>37152.73</v>
      </c>
      <c r="U41" s="121">
        <f t="shared" si="18"/>
        <v>74305.46</v>
      </c>
      <c r="V41" s="140"/>
      <c r="W41" s="389">
        <v>3</v>
      </c>
      <c r="X41" s="16">
        <v>38081.54</v>
      </c>
      <c r="Y41" s="121">
        <f t="shared" si="19"/>
        <v>114244.62</v>
      </c>
      <c r="Z41" s="140"/>
      <c r="AA41" s="389">
        <v>3</v>
      </c>
      <c r="AB41" s="16">
        <v>39033.58</v>
      </c>
      <c r="AC41" s="121">
        <f t="shared" si="20"/>
        <v>117100.74</v>
      </c>
      <c r="AD41" s="141"/>
      <c r="AE41" s="91"/>
    </row>
    <row r="42" spans="2:31" ht="15" customHeight="1">
      <c r="B42" s="86"/>
      <c r="C42" s="100"/>
      <c r="D42" s="390" t="s">
        <v>455</v>
      </c>
      <c r="E42" s="87"/>
      <c r="F42" s="389">
        <v>2</v>
      </c>
      <c r="G42" s="16">
        <v>15750</v>
      </c>
      <c r="H42" s="121">
        <f t="shared" si="10"/>
        <v>31500</v>
      </c>
      <c r="I42" s="122"/>
      <c r="J42" s="87"/>
      <c r="K42" s="389">
        <v>2</v>
      </c>
      <c r="L42" s="16">
        <v>31500</v>
      </c>
      <c r="M42" s="121">
        <f t="shared" si="11"/>
        <v>63000</v>
      </c>
      <c r="N42" s="122"/>
      <c r="O42" s="389">
        <v>2</v>
      </c>
      <c r="P42" s="16">
        <v>32287.5</v>
      </c>
      <c r="Q42" s="121">
        <f t="shared" si="12"/>
        <v>64575</v>
      </c>
      <c r="R42" s="140"/>
      <c r="S42" s="389">
        <v>2</v>
      </c>
      <c r="T42" s="16">
        <v>33094.69</v>
      </c>
      <c r="U42" s="121">
        <f t="shared" si="13"/>
        <v>66189.38</v>
      </c>
      <c r="V42" s="140"/>
      <c r="W42" s="389">
        <v>2</v>
      </c>
      <c r="X42" s="16">
        <v>33922.05</v>
      </c>
      <c r="Y42" s="121">
        <f t="shared" si="14"/>
        <v>67844.1</v>
      </c>
      <c r="Z42" s="140"/>
      <c r="AA42" s="389">
        <v>2</v>
      </c>
      <c r="AB42" s="16">
        <v>34770.11</v>
      </c>
      <c r="AC42" s="121">
        <f t="shared" si="15"/>
        <v>69540.22</v>
      </c>
      <c r="AD42" s="141"/>
      <c r="AE42" s="91"/>
    </row>
    <row r="43" spans="2:31" ht="15" customHeight="1">
      <c r="B43" s="86"/>
      <c r="C43" s="100"/>
      <c r="D43" s="390" t="s">
        <v>456</v>
      </c>
      <c r="E43" s="87"/>
      <c r="F43" s="389">
        <v>2</v>
      </c>
      <c r="G43" s="16">
        <v>8000</v>
      </c>
      <c r="H43" s="121">
        <f t="shared" si="10"/>
        <v>16000</v>
      </c>
      <c r="I43" s="122"/>
      <c r="J43" s="87"/>
      <c r="K43" s="389">
        <v>2</v>
      </c>
      <c r="L43" s="16">
        <v>18696</v>
      </c>
      <c r="M43" s="121">
        <f t="shared" si="11"/>
        <v>37392</v>
      </c>
      <c r="N43" s="122"/>
      <c r="O43" s="389">
        <v>2</v>
      </c>
      <c r="P43" s="16">
        <v>19163.4</v>
      </c>
      <c r="Q43" s="121">
        <f t="shared" si="12"/>
        <v>38326.8</v>
      </c>
      <c r="R43" s="140"/>
      <c r="S43" s="389">
        <v>2</v>
      </c>
      <c r="T43" s="16">
        <v>19642.49</v>
      </c>
      <c r="U43" s="121">
        <f t="shared" si="13"/>
        <v>39284.98</v>
      </c>
      <c r="V43" s="140"/>
      <c r="W43" s="389">
        <v>2</v>
      </c>
      <c r="X43" s="16">
        <v>20133.55</v>
      </c>
      <c r="Y43" s="121">
        <f t="shared" si="14"/>
        <v>40267.1</v>
      </c>
      <c r="Z43" s="140"/>
      <c r="AA43" s="389">
        <v>3</v>
      </c>
      <c r="AB43" s="16">
        <v>20636.89</v>
      </c>
      <c r="AC43" s="121">
        <f t="shared" si="15"/>
        <v>61910.67</v>
      </c>
      <c r="AD43" s="141"/>
      <c r="AE43" s="91"/>
    </row>
    <row r="44" spans="2:31" ht="15" customHeight="1">
      <c r="B44" s="86"/>
      <c r="C44" s="100"/>
      <c r="D44" s="390" t="s">
        <v>457</v>
      </c>
      <c r="E44" s="87"/>
      <c r="F44" s="389">
        <v>1</v>
      </c>
      <c r="G44" s="16">
        <v>70000</v>
      </c>
      <c r="H44" s="121">
        <f t="shared" si="10"/>
        <v>70000</v>
      </c>
      <c r="I44" s="122"/>
      <c r="J44" s="87"/>
      <c r="K44" s="389">
        <v>1</v>
      </c>
      <c r="L44" s="16">
        <v>71750</v>
      </c>
      <c r="M44" s="121">
        <f t="shared" si="11"/>
        <v>71750</v>
      </c>
      <c r="N44" s="122"/>
      <c r="O44" s="389">
        <v>1</v>
      </c>
      <c r="P44" s="16">
        <v>73543.75</v>
      </c>
      <c r="Q44" s="121">
        <f t="shared" si="12"/>
        <v>73543.75</v>
      </c>
      <c r="R44" s="140"/>
      <c r="S44" s="389">
        <v>1</v>
      </c>
      <c r="T44" s="16">
        <v>75382.34</v>
      </c>
      <c r="U44" s="121">
        <f t="shared" si="13"/>
        <v>75382.34</v>
      </c>
      <c r="V44" s="140"/>
      <c r="W44" s="389">
        <v>1</v>
      </c>
      <c r="X44" s="16">
        <v>77266.9</v>
      </c>
      <c r="Y44" s="121">
        <f t="shared" si="14"/>
        <v>77266.9</v>
      </c>
      <c r="Z44" s="140"/>
      <c r="AA44" s="389">
        <v>1</v>
      </c>
      <c r="AB44" s="16">
        <v>79198.57</v>
      </c>
      <c r="AC44" s="121">
        <f t="shared" si="15"/>
        <v>79198.57</v>
      </c>
      <c r="AD44" s="141"/>
      <c r="AE44" s="91"/>
    </row>
    <row r="45" spans="2:31" ht="15" customHeight="1">
      <c r="B45" s="86"/>
      <c r="C45" s="100"/>
      <c r="D45" s="390" t="s">
        <v>458</v>
      </c>
      <c r="E45" s="87"/>
      <c r="F45" s="389">
        <v>0</v>
      </c>
      <c r="G45" s="16">
        <v>0</v>
      </c>
      <c r="H45" s="121">
        <f t="shared" si="10"/>
        <v>0</v>
      </c>
      <c r="I45" s="122"/>
      <c r="J45" s="87"/>
      <c r="K45" s="389">
        <v>0.5</v>
      </c>
      <c r="L45" s="16">
        <v>50000</v>
      </c>
      <c r="M45" s="121">
        <f t="shared" si="11"/>
        <v>25000</v>
      </c>
      <c r="N45" s="122"/>
      <c r="O45" s="389">
        <v>0.5</v>
      </c>
      <c r="P45" s="16">
        <v>50000</v>
      </c>
      <c r="Q45" s="121">
        <f t="shared" si="12"/>
        <v>25000</v>
      </c>
      <c r="R45" s="140"/>
      <c r="S45" s="389">
        <v>0.5</v>
      </c>
      <c r="T45" s="16">
        <v>51250</v>
      </c>
      <c r="U45" s="121">
        <f t="shared" si="13"/>
        <v>25625</v>
      </c>
      <c r="V45" s="140"/>
      <c r="W45" s="389">
        <v>0.5</v>
      </c>
      <c r="X45" s="16">
        <v>52531.25</v>
      </c>
      <c r="Y45" s="121">
        <f t="shared" si="14"/>
        <v>26265.625</v>
      </c>
      <c r="Z45" s="140"/>
      <c r="AA45" s="389">
        <v>0.5</v>
      </c>
      <c r="AB45" s="16">
        <v>53844.53</v>
      </c>
      <c r="AC45" s="121">
        <f t="shared" si="15"/>
        <v>26922.265</v>
      </c>
      <c r="AD45" s="141"/>
      <c r="AE45" s="91"/>
    </row>
    <row r="46" spans="2:31" ht="15" customHeight="1">
      <c r="B46" s="86"/>
      <c r="C46" s="100"/>
      <c r="D46" s="390"/>
      <c r="E46" s="87"/>
      <c r="F46" s="389"/>
      <c r="G46" s="16">
        <v>0</v>
      </c>
      <c r="H46" s="121">
        <f t="shared" si="10"/>
        <v>0</v>
      </c>
      <c r="I46" s="122"/>
      <c r="J46" s="87"/>
      <c r="K46" s="389"/>
      <c r="L46" s="16">
        <v>0</v>
      </c>
      <c r="M46" s="121">
        <f t="shared" si="11"/>
        <v>0</v>
      </c>
      <c r="N46" s="122"/>
      <c r="O46" s="389"/>
      <c r="P46" s="16">
        <v>0</v>
      </c>
      <c r="Q46" s="121">
        <f t="shared" si="12"/>
        <v>0</v>
      </c>
      <c r="R46" s="140"/>
      <c r="S46" s="389"/>
      <c r="T46" s="16">
        <v>0</v>
      </c>
      <c r="U46" s="121">
        <f t="shared" si="13"/>
        <v>0</v>
      </c>
      <c r="V46" s="140"/>
      <c r="W46" s="389"/>
      <c r="X46" s="16">
        <v>0</v>
      </c>
      <c r="Y46" s="121">
        <f t="shared" si="14"/>
        <v>0</v>
      </c>
      <c r="Z46" s="140"/>
      <c r="AA46" s="389"/>
      <c r="AB46" s="16">
        <v>0</v>
      </c>
      <c r="AC46" s="121">
        <f t="shared" si="15"/>
        <v>0</v>
      </c>
      <c r="AD46" s="141"/>
      <c r="AE46" s="91"/>
    </row>
    <row r="47" spans="2:31" ht="15" customHeight="1">
      <c r="B47" s="86"/>
      <c r="C47" s="100"/>
      <c r="D47" s="125" t="s">
        <v>88</v>
      </c>
      <c r="E47" s="88"/>
      <c r="F47" s="126">
        <f>SUM(F33:F46)</f>
        <v>19</v>
      </c>
      <c r="G47" s="127"/>
      <c r="H47" s="128">
        <f>SUM(H33:H46)</f>
        <v>1032165</v>
      </c>
      <c r="I47" s="129"/>
      <c r="J47" s="88"/>
      <c r="K47" s="126">
        <f>SUM(K33:K46)</f>
        <v>19.5</v>
      </c>
      <c r="L47" s="127"/>
      <c r="M47" s="128">
        <f>SUM(M33:M46)</f>
        <v>1176529.5</v>
      </c>
      <c r="N47" s="129"/>
      <c r="O47" s="126">
        <f>SUM(O33:O46)</f>
        <v>19.5</v>
      </c>
      <c r="P47" s="127"/>
      <c r="Q47" s="128">
        <f>SUM(Q33:Q46)</f>
        <v>1205317.7300000002</v>
      </c>
      <c r="R47" s="143"/>
      <c r="S47" s="126">
        <f>SUM(S33:S46)</f>
        <v>20.5</v>
      </c>
      <c r="T47" s="127"/>
      <c r="U47" s="128">
        <f>SUM(U33:U46)</f>
        <v>1276372.53</v>
      </c>
      <c r="V47" s="143"/>
      <c r="W47" s="126">
        <f>SUM(W33:W46)</f>
        <v>21.5</v>
      </c>
      <c r="X47" s="127"/>
      <c r="Y47" s="128">
        <f>SUM(Y33:Y46)</f>
        <v>1346363.3650000002</v>
      </c>
      <c r="Z47" s="143"/>
      <c r="AA47" s="126">
        <f>SUM(AA33:AA46)</f>
        <v>22.5</v>
      </c>
      <c r="AB47" s="127"/>
      <c r="AC47" s="128">
        <f>SUM(AC33:AC46)</f>
        <v>1400659.3549999997</v>
      </c>
      <c r="AD47" s="141"/>
      <c r="AE47" s="91"/>
    </row>
    <row r="48" spans="2:31" ht="15" customHeight="1">
      <c r="B48" s="86"/>
      <c r="C48" s="100"/>
      <c r="D48" s="144"/>
      <c r="E48" s="88"/>
      <c r="F48" s="145"/>
      <c r="G48" s="146"/>
      <c r="H48" s="147"/>
      <c r="I48" s="129"/>
      <c r="J48" s="88"/>
      <c r="K48" s="145"/>
      <c r="L48" s="146"/>
      <c r="M48" s="147"/>
      <c r="N48" s="129"/>
      <c r="O48" s="145"/>
      <c r="P48" s="148"/>
      <c r="Q48" s="149"/>
      <c r="R48" s="143"/>
      <c r="S48" s="145"/>
      <c r="T48" s="148"/>
      <c r="U48" s="149"/>
      <c r="V48" s="143"/>
      <c r="W48" s="145"/>
      <c r="X48" s="148"/>
      <c r="Y48" s="149"/>
      <c r="Z48" s="143"/>
      <c r="AA48" s="145"/>
      <c r="AB48" s="148"/>
      <c r="AC48" s="149"/>
      <c r="AD48" s="141"/>
      <c r="AE48" s="91"/>
    </row>
    <row r="49" spans="2:36" ht="43.5" customHeight="1">
      <c r="B49" s="86"/>
      <c r="C49" s="100"/>
      <c r="D49" s="151"/>
      <c r="E49" s="101"/>
      <c r="F49" s="152"/>
      <c r="G49" s="107" t="s">
        <v>87</v>
      </c>
      <c r="H49" s="108" t="s">
        <v>80</v>
      </c>
      <c r="I49" s="109"/>
      <c r="J49" s="101"/>
      <c r="K49" s="152"/>
      <c r="L49" s="107" t="s">
        <v>87</v>
      </c>
      <c r="M49" s="108" t="s">
        <v>80</v>
      </c>
      <c r="N49" s="109"/>
      <c r="O49" s="152"/>
      <c r="P49" s="107" t="s">
        <v>87</v>
      </c>
      <c r="Q49" s="108" t="s">
        <v>80</v>
      </c>
      <c r="R49" s="109"/>
      <c r="S49" s="152"/>
      <c r="T49" s="107" t="s">
        <v>87</v>
      </c>
      <c r="U49" s="108" t="s">
        <v>80</v>
      </c>
      <c r="V49" s="109"/>
      <c r="W49" s="152"/>
      <c r="X49" s="153" t="s">
        <v>87</v>
      </c>
      <c r="Y49" s="108" t="s">
        <v>80</v>
      </c>
      <c r="Z49" s="109"/>
      <c r="AA49" s="152"/>
      <c r="AB49" s="107" t="s">
        <v>87</v>
      </c>
      <c r="AC49" s="108" t="s">
        <v>80</v>
      </c>
      <c r="AD49" s="103"/>
      <c r="AE49" s="104"/>
      <c r="AF49" s="154"/>
      <c r="AG49" s="154"/>
      <c r="AH49" s="154"/>
      <c r="AI49" s="154"/>
      <c r="AJ49" s="154"/>
    </row>
    <row r="50" spans="2:36" ht="15" customHeight="1">
      <c r="B50" s="86"/>
      <c r="C50" s="100"/>
      <c r="D50" s="110" t="s">
        <v>86</v>
      </c>
      <c r="E50" s="111"/>
      <c r="F50" s="155"/>
      <c r="G50" s="156"/>
      <c r="H50" s="157"/>
      <c r="I50" s="158"/>
      <c r="J50" s="111"/>
      <c r="K50" s="155"/>
      <c r="L50" s="156"/>
      <c r="M50" s="157"/>
      <c r="N50" s="158"/>
      <c r="O50" s="159"/>
      <c r="P50" s="160"/>
      <c r="Q50" s="161"/>
      <c r="R50" s="162"/>
      <c r="S50" s="159"/>
      <c r="T50" s="160"/>
      <c r="U50" s="161"/>
      <c r="V50" s="162"/>
      <c r="W50" s="159"/>
      <c r="X50" s="160"/>
      <c r="Y50" s="161"/>
      <c r="Z50" s="162"/>
      <c r="AA50" s="159"/>
      <c r="AB50" s="160"/>
      <c r="AC50" s="161"/>
      <c r="AD50" s="141"/>
      <c r="AE50" s="91"/>
      <c r="AF50" s="81"/>
      <c r="AG50" s="81"/>
      <c r="AH50" s="81"/>
      <c r="AI50" s="81"/>
      <c r="AJ50" s="81"/>
    </row>
    <row r="51" spans="2:49" s="80" customFormat="1" ht="15" customHeight="1">
      <c r="B51" s="86"/>
      <c r="C51" s="100"/>
      <c r="D51" s="163" t="s">
        <v>409</v>
      </c>
      <c r="E51" s="87"/>
      <c r="F51" s="164"/>
      <c r="G51" s="393">
        <v>5588.69</v>
      </c>
      <c r="H51" s="121">
        <f>G51*($F$29+$F$47)</f>
        <v>285023.19</v>
      </c>
      <c r="I51" s="122"/>
      <c r="J51" s="87"/>
      <c r="K51" s="164"/>
      <c r="L51" s="393">
        <v>4620.41</v>
      </c>
      <c r="M51" s="121">
        <f>L51*($K$29+$K$47)</f>
        <v>200987.835</v>
      </c>
      <c r="N51" s="122"/>
      <c r="O51" s="165"/>
      <c r="P51" s="393">
        <v>5082.45</v>
      </c>
      <c r="Q51" s="121">
        <f>P51*($O$29+$O$47)</f>
        <v>231251.475</v>
      </c>
      <c r="R51" s="122"/>
      <c r="S51" s="165"/>
      <c r="T51" s="393">
        <v>5590.7</v>
      </c>
      <c r="U51" s="121">
        <f>T51*($S$29+$S$47)</f>
        <v>271148.95</v>
      </c>
      <c r="V51" s="122"/>
      <c r="W51" s="165"/>
      <c r="X51" s="393">
        <v>6149.77</v>
      </c>
      <c r="Y51" s="121">
        <f>X51*($W$29+$W$47)</f>
        <v>329012.695</v>
      </c>
      <c r="Z51" s="122"/>
      <c r="AA51" s="165"/>
      <c r="AB51" s="393">
        <v>6764.75</v>
      </c>
      <c r="AC51" s="121">
        <f>AB51*($AA$29+$AA$47)</f>
        <v>395737.875</v>
      </c>
      <c r="AD51" s="141"/>
      <c r="AE51" s="91"/>
      <c r="AF51" s="81"/>
      <c r="AG51" s="81"/>
      <c r="AH51" s="81"/>
      <c r="AI51" s="81"/>
      <c r="AJ51" s="81"/>
      <c r="AK51" s="81"/>
      <c r="AL51" s="81"/>
      <c r="AM51" s="81"/>
      <c r="AN51" s="81"/>
      <c r="AO51" s="81"/>
      <c r="AP51" s="81"/>
      <c r="AQ51" s="81"/>
      <c r="AR51" s="81"/>
      <c r="AS51" s="81"/>
      <c r="AT51" s="81"/>
      <c r="AU51" s="81"/>
      <c r="AV51" s="81"/>
      <c r="AW51" s="81"/>
    </row>
    <row r="52" spans="2:49" s="80" customFormat="1" ht="15" customHeight="1">
      <c r="B52" s="86"/>
      <c r="C52" s="100"/>
      <c r="D52" s="166" t="s">
        <v>410</v>
      </c>
      <c r="E52" s="87"/>
      <c r="F52" s="164"/>
      <c r="G52" s="393">
        <v>1304.53</v>
      </c>
      <c r="H52" s="121">
        <f>G52*($F$29+$F$47)</f>
        <v>66531.03</v>
      </c>
      <c r="I52" s="122"/>
      <c r="J52" s="87"/>
      <c r="K52" s="164"/>
      <c r="L52" s="393">
        <v>1224.14</v>
      </c>
      <c r="M52" s="121">
        <f>L52*($K$29+$K$47)</f>
        <v>53250.090000000004</v>
      </c>
      <c r="N52" s="122"/>
      <c r="O52" s="165"/>
      <c r="P52" s="393">
        <v>1254.74</v>
      </c>
      <c r="Q52" s="121">
        <f>P52*($O$29+$O$47)</f>
        <v>57090.67</v>
      </c>
      <c r="R52" s="122"/>
      <c r="S52" s="165"/>
      <c r="T52" s="393">
        <v>1286.11</v>
      </c>
      <c r="U52" s="121">
        <f>T52*($S$29+$S$47)</f>
        <v>62376.33499999999</v>
      </c>
      <c r="V52" s="122"/>
      <c r="W52" s="165"/>
      <c r="X52" s="393">
        <v>1318.26</v>
      </c>
      <c r="Y52" s="121">
        <f>X52*($W$29+$W$47)</f>
        <v>70526.91</v>
      </c>
      <c r="Z52" s="122"/>
      <c r="AA52" s="165"/>
      <c r="AB52" s="393">
        <v>1351.22</v>
      </c>
      <c r="AC52" s="121">
        <f>AB52*($AA$29+$AA$47)</f>
        <v>79046.37</v>
      </c>
      <c r="AD52" s="141"/>
      <c r="AE52" s="91"/>
      <c r="AF52" s="81"/>
      <c r="AG52" s="81"/>
      <c r="AH52" s="81"/>
      <c r="AI52" s="81"/>
      <c r="AJ52" s="81"/>
      <c r="AK52" s="81"/>
      <c r="AL52" s="81"/>
      <c r="AM52" s="81"/>
      <c r="AN52" s="81"/>
      <c r="AO52" s="81"/>
      <c r="AP52" s="81"/>
      <c r="AQ52" s="81"/>
      <c r="AR52" s="81"/>
      <c r="AS52" s="81"/>
      <c r="AT52" s="81"/>
      <c r="AU52" s="81"/>
      <c r="AV52" s="81"/>
      <c r="AW52" s="81"/>
    </row>
    <row r="53" spans="2:49" s="80" customFormat="1" ht="15" customHeight="1">
      <c r="B53" s="86"/>
      <c r="C53" s="100"/>
      <c r="D53" s="166" t="s">
        <v>408</v>
      </c>
      <c r="E53" s="87"/>
      <c r="F53" s="164"/>
      <c r="G53" s="167">
        <v>0.062</v>
      </c>
      <c r="H53" s="121">
        <f>G53*($H$29+$H$47)</f>
        <v>155810.03</v>
      </c>
      <c r="I53" s="122"/>
      <c r="J53" s="87"/>
      <c r="K53" s="164"/>
      <c r="L53" s="167">
        <v>0.062</v>
      </c>
      <c r="M53" s="121">
        <f>L53*($M$29+$M$47)</f>
        <v>145456.3958</v>
      </c>
      <c r="N53" s="122"/>
      <c r="O53" s="165"/>
      <c r="P53" s="167">
        <v>0.062</v>
      </c>
      <c r="Q53" s="121">
        <f>P53*($Q$29+$Q$47)</f>
        <v>155177.10114</v>
      </c>
      <c r="R53" s="122"/>
      <c r="S53" s="165"/>
      <c r="T53" s="167">
        <v>0.062</v>
      </c>
      <c r="U53" s="121">
        <f>T53*($U$29+$U$47)</f>
        <v>167869.79694</v>
      </c>
      <c r="V53" s="122"/>
      <c r="W53" s="165"/>
      <c r="X53" s="168">
        <v>0.062</v>
      </c>
      <c r="Y53" s="121">
        <f>X53*($Y$29+$Y$47)</f>
        <v>185445.86353000003</v>
      </c>
      <c r="Z53" s="122"/>
      <c r="AA53" s="165"/>
      <c r="AB53" s="167">
        <v>0.062</v>
      </c>
      <c r="AC53" s="121">
        <f>AB53*($AC$29+$AC$47)</f>
        <v>204549.18883</v>
      </c>
      <c r="AD53" s="141"/>
      <c r="AE53" s="91"/>
      <c r="AF53" s="81"/>
      <c r="AG53" s="81"/>
      <c r="AH53" s="81"/>
      <c r="AI53" s="81"/>
      <c r="AJ53" s="81"/>
      <c r="AK53" s="81"/>
      <c r="AL53" s="81"/>
      <c r="AM53" s="81"/>
      <c r="AN53" s="81"/>
      <c r="AO53" s="81"/>
      <c r="AP53" s="81"/>
      <c r="AQ53" s="81"/>
      <c r="AR53" s="81"/>
      <c r="AS53" s="81"/>
      <c r="AT53" s="81"/>
      <c r="AU53" s="81"/>
      <c r="AV53" s="81"/>
      <c r="AW53" s="81"/>
    </row>
    <row r="54" spans="2:49" s="80" customFormat="1" ht="15" customHeight="1">
      <c r="B54" s="86"/>
      <c r="C54" s="100"/>
      <c r="D54" s="166" t="s">
        <v>81</v>
      </c>
      <c r="E54" s="87"/>
      <c r="F54" s="164"/>
      <c r="G54" s="169">
        <v>0.0145</v>
      </c>
      <c r="H54" s="121">
        <f>G54*($H$29+$H$47)</f>
        <v>36439.442500000005</v>
      </c>
      <c r="I54" s="122"/>
      <c r="J54" s="87"/>
      <c r="K54" s="164"/>
      <c r="L54" s="169">
        <v>0.0145</v>
      </c>
      <c r="M54" s="121">
        <f>L54*($M$29+$M$47)</f>
        <v>34018.02805</v>
      </c>
      <c r="N54" s="122"/>
      <c r="O54" s="165"/>
      <c r="P54" s="169">
        <v>0.0145</v>
      </c>
      <c r="Q54" s="121">
        <f>P54*($Q$29+$Q$47)</f>
        <v>36291.418815000005</v>
      </c>
      <c r="R54" s="122"/>
      <c r="S54" s="165"/>
      <c r="T54" s="169">
        <v>0.0145</v>
      </c>
      <c r="U54" s="121">
        <f>T54*($U$29+$U$47)</f>
        <v>39259.871865</v>
      </c>
      <c r="V54" s="122"/>
      <c r="W54" s="165"/>
      <c r="X54" s="170">
        <v>0.0145</v>
      </c>
      <c r="Y54" s="121">
        <f>X54*($Y$29+$Y$47)</f>
        <v>43370.403567500005</v>
      </c>
      <c r="Z54" s="122"/>
      <c r="AA54" s="165"/>
      <c r="AB54" s="169">
        <v>0.0145</v>
      </c>
      <c r="AC54" s="121">
        <f>AB54*($AC$29+$AC$47)</f>
        <v>47838.1167425</v>
      </c>
      <c r="AD54" s="141"/>
      <c r="AE54" s="91"/>
      <c r="AF54" s="81"/>
      <c r="AG54" s="81"/>
      <c r="AH54" s="81"/>
      <c r="AI54" s="81"/>
      <c r="AJ54" s="81"/>
      <c r="AK54" s="81"/>
      <c r="AL54" s="81"/>
      <c r="AM54" s="81"/>
      <c r="AN54" s="81"/>
      <c r="AO54" s="81"/>
      <c r="AP54" s="81"/>
      <c r="AQ54" s="81"/>
      <c r="AR54" s="81"/>
      <c r="AS54" s="81"/>
      <c r="AT54" s="81"/>
      <c r="AU54" s="81"/>
      <c r="AV54" s="81"/>
      <c r="AW54" s="81"/>
    </row>
    <row r="55" spans="2:49" s="80" customFormat="1" ht="15" customHeight="1">
      <c r="B55" s="86"/>
      <c r="C55" s="100"/>
      <c r="D55" s="166" t="s">
        <v>82</v>
      </c>
      <c r="E55" s="87"/>
      <c r="F55" s="164"/>
      <c r="G55" s="167">
        <v>0.025</v>
      </c>
      <c r="H55" s="121">
        <f>G55*($H$29+$H$47)</f>
        <v>62826.625</v>
      </c>
      <c r="I55" s="122"/>
      <c r="J55" s="87"/>
      <c r="K55" s="164"/>
      <c r="L55" s="167">
        <v>0.025</v>
      </c>
      <c r="M55" s="121">
        <f>L55*($M$29+$M$47)</f>
        <v>58651.7725</v>
      </c>
      <c r="N55" s="122"/>
      <c r="O55" s="165"/>
      <c r="P55" s="167">
        <v>0.025</v>
      </c>
      <c r="Q55" s="121">
        <f>P55*($Q$29+$Q$47)</f>
        <v>62571.41175000001</v>
      </c>
      <c r="R55" s="122"/>
      <c r="S55" s="165"/>
      <c r="T55" s="167">
        <v>0.025</v>
      </c>
      <c r="U55" s="121">
        <f>T55*($U$29+$U$47)</f>
        <v>67689.43425</v>
      </c>
      <c r="V55" s="122"/>
      <c r="W55" s="165"/>
      <c r="X55" s="168">
        <v>0.025</v>
      </c>
      <c r="Y55" s="121">
        <f>X55*($Y$29+$Y$47)</f>
        <v>74776.55787500001</v>
      </c>
      <c r="Z55" s="122"/>
      <c r="AA55" s="165"/>
      <c r="AB55" s="167">
        <v>0.025</v>
      </c>
      <c r="AC55" s="121">
        <f>AB55*($AC$29+$AC$47)</f>
        <v>82479.511625</v>
      </c>
      <c r="AD55" s="141"/>
      <c r="AE55" s="91"/>
      <c r="AF55" s="81"/>
      <c r="AG55" s="81"/>
      <c r="AH55" s="81"/>
      <c r="AI55" s="81"/>
      <c r="AJ55" s="81"/>
      <c r="AK55" s="81"/>
      <c r="AL55" s="81"/>
      <c r="AM55" s="81"/>
      <c r="AN55" s="81"/>
      <c r="AO55" s="81"/>
      <c r="AP55" s="81"/>
      <c r="AQ55" s="81"/>
      <c r="AR55" s="81"/>
      <c r="AS55" s="81"/>
      <c r="AT55" s="81"/>
      <c r="AU55" s="81"/>
      <c r="AV55" s="81"/>
      <c r="AW55" s="81"/>
    </row>
    <row r="56" spans="2:49" s="80" customFormat="1" ht="15" customHeight="1">
      <c r="B56" s="86"/>
      <c r="C56" s="100"/>
      <c r="D56" s="166" t="s">
        <v>407</v>
      </c>
      <c r="E56" s="87"/>
      <c r="F56" s="394"/>
      <c r="G56" s="395"/>
      <c r="H56" s="393">
        <f>123383+(2723644-2576065)+(208359-159716.03-37352.94)-64401.63</f>
        <v>217850.40000000002</v>
      </c>
      <c r="I56" s="122"/>
      <c r="J56" s="87"/>
      <c r="K56" s="394"/>
      <c r="L56" s="395"/>
      <c r="M56" s="452">
        <v>84293.64</v>
      </c>
      <c r="N56" s="122"/>
      <c r="O56" s="396"/>
      <c r="P56" s="395"/>
      <c r="Q56" s="452">
        <v>92537.42</v>
      </c>
      <c r="R56" s="122"/>
      <c r="S56" s="396"/>
      <c r="T56" s="395"/>
      <c r="U56" s="452">
        <v>103882.31</v>
      </c>
      <c r="V56" s="122"/>
      <c r="W56" s="396"/>
      <c r="X56" s="395"/>
      <c r="Y56" s="452">
        <v>121376.65</v>
      </c>
      <c r="Z56" s="122"/>
      <c r="AA56" s="396"/>
      <c r="AB56" s="395"/>
      <c r="AC56" s="452">
        <v>139661.7</v>
      </c>
      <c r="AD56" s="141"/>
      <c r="AE56" s="91"/>
      <c r="AF56" s="81"/>
      <c r="AG56" s="81"/>
      <c r="AH56" s="81"/>
      <c r="AI56" s="81"/>
      <c r="AJ56" s="81"/>
      <c r="AK56" s="81"/>
      <c r="AL56" s="81"/>
      <c r="AM56" s="81"/>
      <c r="AN56" s="81"/>
      <c r="AO56" s="81"/>
      <c r="AP56" s="81"/>
      <c r="AQ56" s="81"/>
      <c r="AR56" s="81"/>
      <c r="AS56" s="81"/>
      <c r="AT56" s="81"/>
      <c r="AU56" s="81"/>
      <c r="AV56" s="81"/>
      <c r="AW56" s="81"/>
    </row>
    <row r="57" spans="1:36" s="84" customFormat="1" ht="15" customHeight="1">
      <c r="A57" s="81"/>
      <c r="B57" s="86"/>
      <c r="C57" s="171"/>
      <c r="D57" s="172"/>
      <c r="E57" s="173"/>
      <c r="F57" s="174"/>
      <c r="G57" s="175"/>
      <c r="H57" s="176"/>
      <c r="I57" s="146"/>
      <c r="J57" s="173"/>
      <c r="K57" s="174"/>
      <c r="L57" s="175"/>
      <c r="M57" s="176"/>
      <c r="N57" s="146"/>
      <c r="O57" s="177"/>
      <c r="P57" s="175"/>
      <c r="Q57" s="176"/>
      <c r="R57" s="146"/>
      <c r="S57" s="177"/>
      <c r="T57" s="175"/>
      <c r="U57" s="176"/>
      <c r="V57" s="146"/>
      <c r="W57" s="177"/>
      <c r="X57" s="175"/>
      <c r="Y57" s="176"/>
      <c r="Z57" s="146"/>
      <c r="AA57" s="177"/>
      <c r="AB57" s="175"/>
      <c r="AC57" s="176"/>
      <c r="AD57" s="178"/>
      <c r="AE57" s="91"/>
      <c r="AF57" s="179"/>
      <c r="AG57" s="81"/>
      <c r="AH57" s="81"/>
      <c r="AI57" s="81"/>
      <c r="AJ57" s="81"/>
    </row>
    <row r="58" spans="1:36" s="84" customFormat="1" ht="15" customHeight="1">
      <c r="A58" s="81"/>
      <c r="B58" s="86"/>
      <c r="C58" s="87"/>
      <c r="D58" s="132"/>
      <c r="E58" s="88"/>
      <c r="F58" s="87"/>
      <c r="G58" s="180"/>
      <c r="H58" s="181"/>
      <c r="I58" s="129"/>
      <c r="J58" s="88"/>
      <c r="K58" s="87"/>
      <c r="L58" s="180"/>
      <c r="M58" s="181"/>
      <c r="N58" s="129"/>
      <c r="O58" s="143"/>
      <c r="P58" s="180"/>
      <c r="Q58" s="181"/>
      <c r="R58" s="129"/>
      <c r="S58" s="143"/>
      <c r="T58" s="180"/>
      <c r="U58" s="181"/>
      <c r="V58" s="129"/>
      <c r="W58" s="143"/>
      <c r="X58" s="180"/>
      <c r="Y58" s="181"/>
      <c r="Z58" s="129"/>
      <c r="AA58" s="143"/>
      <c r="AB58" s="180"/>
      <c r="AC58" s="181"/>
      <c r="AD58" s="87"/>
      <c r="AE58" s="91"/>
      <c r="AF58" s="179"/>
      <c r="AG58" s="81"/>
      <c r="AH58" s="81"/>
      <c r="AI58" s="81"/>
      <c r="AJ58" s="81"/>
    </row>
    <row r="59" spans="1:36" s="84" customFormat="1" ht="15" customHeight="1">
      <c r="A59" s="81"/>
      <c r="B59" s="86"/>
      <c r="C59" s="97"/>
      <c r="D59" s="182"/>
      <c r="E59" s="183"/>
      <c r="F59" s="98"/>
      <c r="G59" s="184"/>
      <c r="H59" s="185"/>
      <c r="I59" s="186"/>
      <c r="J59" s="183"/>
      <c r="K59" s="98"/>
      <c r="L59" s="184"/>
      <c r="M59" s="185"/>
      <c r="N59" s="186"/>
      <c r="O59" s="187"/>
      <c r="P59" s="184"/>
      <c r="Q59" s="185"/>
      <c r="R59" s="186"/>
      <c r="S59" s="187"/>
      <c r="T59" s="184"/>
      <c r="U59" s="185"/>
      <c r="V59" s="186"/>
      <c r="W59" s="187"/>
      <c r="X59" s="184"/>
      <c r="Y59" s="185"/>
      <c r="Z59" s="186"/>
      <c r="AA59" s="187"/>
      <c r="AB59" s="184"/>
      <c r="AC59" s="185"/>
      <c r="AD59" s="99"/>
      <c r="AE59" s="91"/>
      <c r="AF59" s="179"/>
      <c r="AG59" s="81"/>
      <c r="AH59" s="81"/>
      <c r="AI59" s="81"/>
      <c r="AJ59" s="81"/>
    </row>
    <row r="60" spans="2:36" ht="15" customHeight="1">
      <c r="B60" s="86"/>
      <c r="C60" s="100"/>
      <c r="D60" s="188" t="s">
        <v>89</v>
      </c>
      <c r="E60" s="88"/>
      <c r="F60" s="494" t="s">
        <v>494</v>
      </c>
      <c r="G60" s="495"/>
      <c r="H60" s="496"/>
      <c r="I60" s="87"/>
      <c r="J60" s="88"/>
      <c r="K60" s="494" t="s">
        <v>487</v>
      </c>
      <c r="L60" s="495"/>
      <c r="M60" s="496"/>
      <c r="N60" s="87"/>
      <c r="O60" s="494" t="s">
        <v>488</v>
      </c>
      <c r="P60" s="495"/>
      <c r="Q60" s="496"/>
      <c r="R60" s="87"/>
      <c r="S60" s="494" t="s">
        <v>489</v>
      </c>
      <c r="T60" s="495"/>
      <c r="U60" s="496"/>
      <c r="V60" s="87"/>
      <c r="W60" s="494" t="s">
        <v>490</v>
      </c>
      <c r="X60" s="499"/>
      <c r="Y60" s="500"/>
      <c r="Z60" s="87"/>
      <c r="AA60" s="494" t="s">
        <v>491</v>
      </c>
      <c r="AB60" s="495"/>
      <c r="AC60" s="496"/>
      <c r="AD60" s="120"/>
      <c r="AE60" s="91"/>
      <c r="AF60" s="81"/>
      <c r="AG60" s="81"/>
      <c r="AH60" s="81"/>
      <c r="AI60" s="81"/>
      <c r="AJ60" s="81"/>
    </row>
    <row r="61" spans="2:36" ht="15" customHeight="1">
      <c r="B61" s="86"/>
      <c r="C61" s="100"/>
      <c r="D61" s="88"/>
      <c r="E61" s="189"/>
      <c r="F61" s="190" t="s">
        <v>54</v>
      </c>
      <c r="G61" s="191"/>
      <c r="H61" s="150">
        <f>F29+F47</f>
        <v>51</v>
      </c>
      <c r="I61" s="191"/>
      <c r="J61" s="189"/>
      <c r="K61" s="190" t="s">
        <v>54</v>
      </c>
      <c r="L61" s="191"/>
      <c r="M61" s="150">
        <f>K29+K47</f>
        <v>43.5</v>
      </c>
      <c r="N61" s="191"/>
      <c r="O61" s="190" t="s">
        <v>54</v>
      </c>
      <c r="P61" s="189"/>
      <c r="Q61" s="150">
        <f>O29+O47</f>
        <v>45.5</v>
      </c>
      <c r="R61" s="189"/>
      <c r="S61" s="190" t="s">
        <v>54</v>
      </c>
      <c r="T61" s="189"/>
      <c r="U61" s="150">
        <f>S29+S47</f>
        <v>48.5</v>
      </c>
      <c r="V61" s="189"/>
      <c r="W61" s="190" t="s">
        <v>54</v>
      </c>
      <c r="X61" s="189"/>
      <c r="Y61" s="150">
        <f>W29+W47</f>
        <v>53.5</v>
      </c>
      <c r="Z61" s="189"/>
      <c r="AA61" s="190" t="s">
        <v>54</v>
      </c>
      <c r="AB61" s="189"/>
      <c r="AC61" s="150">
        <f>AA29+AA47</f>
        <v>58.5</v>
      </c>
      <c r="AD61" s="123"/>
      <c r="AE61" s="192"/>
      <c r="AF61" s="193"/>
      <c r="AG61" s="193"/>
      <c r="AH61" s="193"/>
      <c r="AI61" s="194"/>
      <c r="AJ61" s="193"/>
    </row>
    <row r="62" spans="2:36" ht="15" customHeight="1">
      <c r="B62" s="86"/>
      <c r="C62" s="100"/>
      <c r="D62" s="88"/>
      <c r="E62" s="88"/>
      <c r="F62" s="190" t="s">
        <v>90</v>
      </c>
      <c r="G62" s="195"/>
      <c r="H62" s="196">
        <f>H29+H47</f>
        <v>2513065</v>
      </c>
      <c r="I62" s="195"/>
      <c r="J62" s="88"/>
      <c r="K62" s="190" t="s">
        <v>90</v>
      </c>
      <c r="L62" s="195"/>
      <c r="M62" s="196">
        <f>M29+M47</f>
        <v>2346070.9</v>
      </c>
      <c r="N62" s="195"/>
      <c r="O62" s="190" t="s">
        <v>90</v>
      </c>
      <c r="P62" s="195"/>
      <c r="Q62" s="196">
        <f>Q29+Q47</f>
        <v>2502856.47</v>
      </c>
      <c r="R62" s="195"/>
      <c r="S62" s="190" t="s">
        <v>90</v>
      </c>
      <c r="T62" s="195"/>
      <c r="U62" s="196">
        <f>U29+U47</f>
        <v>2707577.37</v>
      </c>
      <c r="V62" s="195"/>
      <c r="W62" s="190" t="s">
        <v>90</v>
      </c>
      <c r="X62" s="195"/>
      <c r="Y62" s="196">
        <f>Y29+Y47</f>
        <v>2991062.3150000004</v>
      </c>
      <c r="Z62" s="195"/>
      <c r="AA62" s="190" t="s">
        <v>90</v>
      </c>
      <c r="AB62" s="195"/>
      <c r="AC62" s="196">
        <f>AC29+AC47</f>
        <v>3299180.465</v>
      </c>
      <c r="AD62" s="120"/>
      <c r="AE62" s="91"/>
      <c r="AF62" s="80"/>
      <c r="AG62" s="80"/>
      <c r="AH62" s="80"/>
      <c r="AI62" s="81"/>
      <c r="AJ62" s="80"/>
    </row>
    <row r="63" spans="2:36" ht="15" customHeight="1">
      <c r="B63" s="86"/>
      <c r="C63" s="100"/>
      <c r="D63" s="88"/>
      <c r="E63" s="88"/>
      <c r="F63" s="190" t="s">
        <v>558</v>
      </c>
      <c r="G63" s="87"/>
      <c r="H63" s="197">
        <f>SUM(H51:H56)</f>
        <v>824480.7175</v>
      </c>
      <c r="I63" s="87"/>
      <c r="J63" s="88"/>
      <c r="K63" s="190" t="s">
        <v>558</v>
      </c>
      <c r="L63" s="87"/>
      <c r="M63" s="197">
        <f>SUM(M51:M56)</f>
        <v>576657.76135</v>
      </c>
      <c r="N63" s="87"/>
      <c r="O63" s="190" t="s">
        <v>558</v>
      </c>
      <c r="P63" s="87"/>
      <c r="Q63" s="197">
        <f>SUM(Q51:Q56)</f>
        <v>634919.496705</v>
      </c>
      <c r="R63" s="87"/>
      <c r="S63" s="190" t="s">
        <v>558</v>
      </c>
      <c r="T63" s="87"/>
      <c r="U63" s="197">
        <f>SUM(U51:U56)</f>
        <v>712226.698055</v>
      </c>
      <c r="V63" s="87"/>
      <c r="W63" s="190" t="s">
        <v>558</v>
      </c>
      <c r="X63" s="87"/>
      <c r="Y63" s="197">
        <f>SUM(Y51:Y56)</f>
        <v>824509.0799725</v>
      </c>
      <c r="Z63" s="87"/>
      <c r="AA63" s="190" t="s">
        <v>558</v>
      </c>
      <c r="AB63" s="87"/>
      <c r="AC63" s="197">
        <f>SUM(AC51:AC56)</f>
        <v>949312.7621975001</v>
      </c>
      <c r="AD63" s="120"/>
      <c r="AE63" s="91"/>
      <c r="AF63" s="80"/>
      <c r="AG63" s="80"/>
      <c r="AH63" s="80"/>
      <c r="AI63" s="80"/>
      <c r="AJ63" s="80"/>
    </row>
    <row r="64" spans="2:36" ht="15" customHeight="1">
      <c r="B64" s="86"/>
      <c r="C64" s="100"/>
      <c r="D64" s="88"/>
      <c r="E64" s="88"/>
      <c r="F64" s="190" t="s">
        <v>91</v>
      </c>
      <c r="G64" s="87"/>
      <c r="H64" s="197">
        <f>H62+H63</f>
        <v>3337545.7175000003</v>
      </c>
      <c r="I64" s="87"/>
      <c r="J64" s="88"/>
      <c r="K64" s="190" t="s">
        <v>91</v>
      </c>
      <c r="L64" s="87"/>
      <c r="M64" s="197">
        <f>M62+M63</f>
        <v>2922728.6613499997</v>
      </c>
      <c r="N64" s="87"/>
      <c r="O64" s="190" t="s">
        <v>91</v>
      </c>
      <c r="P64" s="87"/>
      <c r="Q64" s="197">
        <f>Q62+Q63</f>
        <v>3137775.966705</v>
      </c>
      <c r="R64" s="87"/>
      <c r="S64" s="190" t="s">
        <v>91</v>
      </c>
      <c r="T64" s="87"/>
      <c r="U64" s="197">
        <f>U62+U63</f>
        <v>3419804.068055</v>
      </c>
      <c r="V64" s="87"/>
      <c r="W64" s="190" t="s">
        <v>91</v>
      </c>
      <c r="X64" s="87"/>
      <c r="Y64" s="197">
        <f>Y62+Y63</f>
        <v>3815571.3949725004</v>
      </c>
      <c r="Z64" s="87"/>
      <c r="AA64" s="190" t="s">
        <v>91</v>
      </c>
      <c r="AB64" s="87"/>
      <c r="AC64" s="197">
        <f>AC62+AC63</f>
        <v>4248493.2271975</v>
      </c>
      <c r="AD64" s="120"/>
      <c r="AE64" s="91"/>
      <c r="AF64" s="80"/>
      <c r="AG64" s="80"/>
      <c r="AH64" s="80"/>
      <c r="AI64" s="80"/>
      <c r="AJ64" s="80"/>
    </row>
    <row r="65" spans="2:36" ht="15" customHeight="1">
      <c r="B65" s="86"/>
      <c r="C65" s="100"/>
      <c r="D65" s="87"/>
      <c r="E65" s="88"/>
      <c r="F65" s="190" t="s">
        <v>55</v>
      </c>
      <c r="G65" s="140"/>
      <c r="H65" s="150" t="str">
        <f>IF('2. Enrollment Projections'!E35&lt;=0,_xlfn.IFERROR((ROUND('2. Enrollment Projections'!E37/(F29),0)&amp;":1"),""),_xlfn.IFERROR((ROUND('2. Enrollment Projections'!E36/(F29),0)&amp;":1"),""))</f>
        <v>13:1</v>
      </c>
      <c r="I65" s="140"/>
      <c r="J65" s="88"/>
      <c r="K65" s="190" t="s">
        <v>55</v>
      </c>
      <c r="L65" s="140"/>
      <c r="M65" s="150" t="str">
        <f>IF('2. Enrollment Projections'!F35&lt;=0,_xlfn.IFERROR((ROUND('2. Enrollment Projections'!F37/(K29),0)&amp;":1"),""),_xlfn.IFERROR((ROUND('2. Enrollment Projections'!F36/(K29),0)&amp;":1"),""))</f>
        <v>20:1</v>
      </c>
      <c r="N65" s="140"/>
      <c r="O65" s="190" t="s">
        <v>55</v>
      </c>
      <c r="P65" s="140"/>
      <c r="Q65" s="150" t="str">
        <f>IF('2. Enrollment Projections'!G35&lt;=0,_xlfn.IFERROR((ROUND('2. Enrollment Projections'!G37/(O29),0)&amp;":1"),""),_xlfn.IFERROR((ROUND('2. Enrollment Projections'!G36/(O29),0)&amp;":1"),""))</f>
        <v>20:1</v>
      </c>
      <c r="R65" s="140"/>
      <c r="S65" s="190" t="s">
        <v>55</v>
      </c>
      <c r="T65" s="140"/>
      <c r="U65" s="150" t="str">
        <f>IF('2. Enrollment Projections'!H35&lt;=0,_xlfn.IFERROR((ROUND('2. Enrollment Projections'!H37/(S29),0)&amp;":1"),""),_xlfn.IFERROR((ROUND('2. Enrollment Projections'!H36/(S29),0)&amp;":1"),""))</f>
        <v>20:1</v>
      </c>
      <c r="V65" s="140"/>
      <c r="W65" s="190" t="s">
        <v>55</v>
      </c>
      <c r="X65" s="140"/>
      <c r="Y65" s="150" t="str">
        <f>IF('2. Enrollment Projections'!I35&lt;=0,_xlfn.IFERROR((ROUND('2. Enrollment Projections'!I37/(W29),0)&amp;":1"),""),_xlfn.IFERROR((ROUND('2. Enrollment Projections'!I36/(W29),0)&amp;":1"),""))</f>
        <v>20:1</v>
      </c>
      <c r="Z65" s="140"/>
      <c r="AA65" s="190" t="s">
        <v>55</v>
      </c>
      <c r="AB65" s="140"/>
      <c r="AC65" s="150" t="str">
        <f>IF('2. Enrollment Projections'!J35&lt;=0,_xlfn.IFERROR((ROUND('2. Enrollment Projections'!J37/(AA29),0)&amp;":1"),""),_xlfn.IFERROR((ROUND('2. Enrollment Projections'!J36/(AA29),0)&amp;":1"),""))</f>
        <v>20:1</v>
      </c>
      <c r="AD65" s="120"/>
      <c r="AE65" s="91"/>
      <c r="AF65" s="80"/>
      <c r="AG65" s="80"/>
      <c r="AH65" s="80"/>
      <c r="AI65" s="80"/>
      <c r="AJ65" s="80"/>
    </row>
    <row r="66" spans="2:36" ht="15" customHeight="1">
      <c r="B66" s="86"/>
      <c r="C66" s="100"/>
      <c r="D66" s="87"/>
      <c r="E66" s="88"/>
      <c r="F66" s="198" t="s">
        <v>56</v>
      </c>
      <c r="G66" s="199"/>
      <c r="H66" s="200" t="str">
        <f>IF('2. Enrollment Projections'!E35&lt;=0,_xlfn.IFERROR((ROUND('2. Enrollment Projections'!E37/(H61),0)&amp;":1"),""),_xlfn.IFERROR((ROUND('2. Enrollment Projections'!E36/(H61),0)&amp;":1"),""))</f>
        <v>8:1</v>
      </c>
      <c r="I66" s="140"/>
      <c r="J66" s="88"/>
      <c r="K66" s="198" t="s">
        <v>56</v>
      </c>
      <c r="L66" s="199"/>
      <c r="M66" s="200" t="str">
        <f>IF('2. Enrollment Projections'!F35&lt;=0,_xlfn.IFERROR((ROUND('2. Enrollment Projections'!F37/(M61),0)&amp;":1"),""),_xlfn.IFERROR((ROUND('2. Enrollment Projections'!F36/(M61),0)&amp;":1"),""))</f>
        <v>11:1</v>
      </c>
      <c r="N66" s="140"/>
      <c r="O66" s="198" t="s">
        <v>56</v>
      </c>
      <c r="P66" s="199"/>
      <c r="Q66" s="200" t="str">
        <f>IF('2. Enrollment Projections'!G35&lt;=0,_xlfn.IFERROR((ROUND('2. Enrollment Projections'!G37/(Q61),0)&amp;":1"),""),_xlfn.IFERROR((ROUND('2. Enrollment Projections'!G36/(Q61),0)&amp;":1"),""))</f>
        <v>11:1</v>
      </c>
      <c r="R66" s="140"/>
      <c r="S66" s="198" t="s">
        <v>56</v>
      </c>
      <c r="T66" s="199"/>
      <c r="U66" s="200" t="str">
        <f>IF('2. Enrollment Projections'!H35&lt;=0,_xlfn.IFERROR((ROUND('2. Enrollment Projections'!H37/(U61),0)&amp;":1"),""),_xlfn.IFERROR((ROUND('2. Enrollment Projections'!H36/(U61),0)&amp;":1"),""))</f>
        <v>12:1</v>
      </c>
      <c r="V66" s="140"/>
      <c r="W66" s="198" t="s">
        <v>56</v>
      </c>
      <c r="X66" s="199"/>
      <c r="Y66" s="200" t="str">
        <f>IF('2. Enrollment Projections'!I35&lt;=0,_xlfn.IFERROR((ROUND('2. Enrollment Projections'!I37/(Y61),0)&amp;":1"),""),_xlfn.IFERROR((ROUND('2. Enrollment Projections'!I36/(Y61),0)&amp;":1"),""))</f>
        <v>12:1</v>
      </c>
      <c r="Z66" s="140"/>
      <c r="AA66" s="198" t="s">
        <v>56</v>
      </c>
      <c r="AB66" s="199"/>
      <c r="AC66" s="200" t="str">
        <f>IF('2. Enrollment Projections'!J35&lt;=0,_xlfn.IFERROR((ROUND('2. Enrollment Projections'!J37/(AC61),0)&amp;":1"),""),_xlfn.IFERROR((ROUND('2. Enrollment Projections'!J36/(AC61),0)&amp;":1"),""))</f>
        <v>12:1</v>
      </c>
      <c r="AD66" s="120"/>
      <c r="AE66" s="91"/>
      <c r="AF66" s="85"/>
      <c r="AG66" s="85"/>
      <c r="AH66" s="85"/>
      <c r="AI66" s="85"/>
      <c r="AJ66" s="85"/>
    </row>
    <row r="67" spans="2:31" s="81" customFormat="1" ht="15" customHeight="1">
      <c r="B67" s="86"/>
      <c r="C67" s="171"/>
      <c r="D67" s="201"/>
      <c r="E67" s="201"/>
      <c r="F67" s="174"/>
      <c r="G67" s="174"/>
      <c r="H67" s="174"/>
      <c r="I67" s="174"/>
      <c r="J67" s="201"/>
      <c r="K67" s="174"/>
      <c r="L67" s="174"/>
      <c r="M67" s="174"/>
      <c r="N67" s="174"/>
      <c r="O67" s="174"/>
      <c r="P67" s="174"/>
      <c r="Q67" s="174"/>
      <c r="R67" s="174"/>
      <c r="S67" s="174"/>
      <c r="T67" s="174"/>
      <c r="U67" s="174"/>
      <c r="V67" s="174"/>
      <c r="W67" s="174"/>
      <c r="X67" s="174"/>
      <c r="Y67" s="174"/>
      <c r="Z67" s="174"/>
      <c r="AA67" s="174"/>
      <c r="AB67" s="174"/>
      <c r="AC67" s="174"/>
      <c r="AD67" s="178"/>
      <c r="AE67" s="91"/>
    </row>
    <row r="68" spans="2:31" s="81" customFormat="1" ht="15" customHeight="1">
      <c r="B68" s="86"/>
      <c r="C68" s="87"/>
      <c r="D68" s="316"/>
      <c r="E68" s="316"/>
      <c r="F68" s="87"/>
      <c r="G68" s="87"/>
      <c r="H68" s="87"/>
      <c r="I68" s="87"/>
      <c r="J68" s="316"/>
      <c r="K68" s="87"/>
      <c r="L68" s="87"/>
      <c r="M68" s="87"/>
      <c r="N68" s="87"/>
      <c r="O68" s="87"/>
      <c r="P68" s="87"/>
      <c r="Q68" s="87"/>
      <c r="R68" s="87"/>
      <c r="S68" s="87"/>
      <c r="T68" s="87"/>
      <c r="U68" s="87"/>
      <c r="V68" s="87"/>
      <c r="W68" s="87"/>
      <c r="X68" s="87"/>
      <c r="Y68" s="87"/>
      <c r="Z68" s="87"/>
      <c r="AA68" s="87"/>
      <c r="AB68" s="87"/>
      <c r="AC68" s="87"/>
      <c r="AD68" s="87"/>
      <c r="AE68" s="91"/>
    </row>
    <row r="69" spans="2:31" s="397" customFormat="1" ht="15" customHeight="1">
      <c r="B69" s="398"/>
      <c r="C69" s="481" t="s">
        <v>414</v>
      </c>
      <c r="D69" s="482"/>
      <c r="E69" s="482"/>
      <c r="F69" s="482"/>
      <c r="G69" s="482"/>
      <c r="H69" s="482"/>
      <c r="I69" s="482"/>
      <c r="J69" s="482"/>
      <c r="K69" s="482"/>
      <c r="L69" s="482"/>
      <c r="M69" s="482"/>
      <c r="N69" s="482"/>
      <c r="O69" s="482"/>
      <c r="P69" s="482"/>
      <c r="Q69" s="482"/>
      <c r="R69" s="482"/>
      <c r="S69" s="482"/>
      <c r="T69" s="482"/>
      <c r="U69" s="482"/>
      <c r="V69" s="482"/>
      <c r="W69" s="483"/>
      <c r="X69" s="399"/>
      <c r="Y69" s="399"/>
      <c r="Z69" s="399"/>
      <c r="AA69" s="399"/>
      <c r="AB69" s="399"/>
      <c r="AC69" s="399"/>
      <c r="AD69" s="399"/>
      <c r="AE69" s="400"/>
    </row>
    <row r="70" spans="2:31" s="397" customFormat="1" ht="15" customHeight="1">
      <c r="B70" s="398"/>
      <c r="C70" s="484" t="s">
        <v>559</v>
      </c>
      <c r="D70" s="485"/>
      <c r="E70" s="485"/>
      <c r="F70" s="485"/>
      <c r="G70" s="485"/>
      <c r="H70" s="485"/>
      <c r="I70" s="485"/>
      <c r="J70" s="485"/>
      <c r="K70" s="485"/>
      <c r="L70" s="485"/>
      <c r="M70" s="485"/>
      <c r="N70" s="485"/>
      <c r="O70" s="485"/>
      <c r="P70" s="485"/>
      <c r="Q70" s="485"/>
      <c r="R70" s="485"/>
      <c r="S70" s="485"/>
      <c r="T70" s="485"/>
      <c r="U70" s="485"/>
      <c r="V70" s="485"/>
      <c r="W70" s="486"/>
      <c r="X70" s="399"/>
      <c r="Y70" s="399"/>
      <c r="Z70" s="399"/>
      <c r="AA70" s="399"/>
      <c r="AB70" s="399"/>
      <c r="AC70" s="399"/>
      <c r="AD70" s="399"/>
      <c r="AE70" s="400"/>
    </row>
    <row r="71" spans="2:31" s="397" customFormat="1" ht="15" customHeight="1">
      <c r="B71" s="398"/>
      <c r="C71" s="487"/>
      <c r="D71" s="485"/>
      <c r="E71" s="485"/>
      <c r="F71" s="485"/>
      <c r="G71" s="485"/>
      <c r="H71" s="485"/>
      <c r="I71" s="485"/>
      <c r="J71" s="485"/>
      <c r="K71" s="485"/>
      <c r="L71" s="485"/>
      <c r="M71" s="485"/>
      <c r="N71" s="485"/>
      <c r="O71" s="485"/>
      <c r="P71" s="485"/>
      <c r="Q71" s="485"/>
      <c r="R71" s="485"/>
      <c r="S71" s="485"/>
      <c r="T71" s="485"/>
      <c r="U71" s="485"/>
      <c r="V71" s="485"/>
      <c r="W71" s="486"/>
      <c r="X71" s="399"/>
      <c r="Y71" s="399"/>
      <c r="Z71" s="399"/>
      <c r="AA71" s="399"/>
      <c r="AB71" s="399"/>
      <c r="AC71" s="399"/>
      <c r="AD71" s="399"/>
      <c r="AE71" s="400"/>
    </row>
    <row r="72" spans="2:31" s="397" customFormat="1" ht="15" customHeight="1">
      <c r="B72" s="398"/>
      <c r="C72" s="487"/>
      <c r="D72" s="485"/>
      <c r="E72" s="485"/>
      <c r="F72" s="485"/>
      <c r="G72" s="485"/>
      <c r="H72" s="485"/>
      <c r="I72" s="485"/>
      <c r="J72" s="485"/>
      <c r="K72" s="485"/>
      <c r="L72" s="485"/>
      <c r="M72" s="485"/>
      <c r="N72" s="485"/>
      <c r="O72" s="485"/>
      <c r="P72" s="485"/>
      <c r="Q72" s="485"/>
      <c r="R72" s="485"/>
      <c r="S72" s="485"/>
      <c r="T72" s="485"/>
      <c r="U72" s="485"/>
      <c r="V72" s="485"/>
      <c r="W72" s="486"/>
      <c r="X72" s="399"/>
      <c r="Y72" s="399"/>
      <c r="Z72" s="399"/>
      <c r="AA72" s="399"/>
      <c r="AB72" s="399"/>
      <c r="AC72" s="399"/>
      <c r="AD72" s="399"/>
      <c r="AE72" s="400"/>
    </row>
    <row r="73" spans="2:31" s="397" customFormat="1" ht="15" customHeight="1">
      <c r="B73" s="398"/>
      <c r="C73" s="487"/>
      <c r="D73" s="485"/>
      <c r="E73" s="485"/>
      <c r="F73" s="485"/>
      <c r="G73" s="485"/>
      <c r="H73" s="485"/>
      <c r="I73" s="485"/>
      <c r="J73" s="485"/>
      <c r="K73" s="485"/>
      <c r="L73" s="485"/>
      <c r="M73" s="485"/>
      <c r="N73" s="485"/>
      <c r="O73" s="485"/>
      <c r="P73" s="485"/>
      <c r="Q73" s="485"/>
      <c r="R73" s="485"/>
      <c r="S73" s="485"/>
      <c r="T73" s="485"/>
      <c r="U73" s="485"/>
      <c r="V73" s="485"/>
      <c r="W73" s="486"/>
      <c r="X73" s="399"/>
      <c r="Y73" s="399"/>
      <c r="Z73" s="399"/>
      <c r="AA73" s="399"/>
      <c r="AB73" s="399"/>
      <c r="AC73" s="399"/>
      <c r="AD73" s="399"/>
      <c r="AE73" s="400"/>
    </row>
    <row r="74" spans="2:31" s="397" customFormat="1" ht="15" customHeight="1">
      <c r="B74" s="398"/>
      <c r="C74" s="487"/>
      <c r="D74" s="485"/>
      <c r="E74" s="485"/>
      <c r="F74" s="485"/>
      <c r="G74" s="485"/>
      <c r="H74" s="485"/>
      <c r="I74" s="485"/>
      <c r="J74" s="485"/>
      <c r="K74" s="485"/>
      <c r="L74" s="485"/>
      <c r="M74" s="485"/>
      <c r="N74" s="485"/>
      <c r="O74" s="485"/>
      <c r="P74" s="485"/>
      <c r="Q74" s="485"/>
      <c r="R74" s="485"/>
      <c r="S74" s="485"/>
      <c r="T74" s="485"/>
      <c r="U74" s="485"/>
      <c r="V74" s="485"/>
      <c r="W74" s="486"/>
      <c r="X74" s="399"/>
      <c r="Y74" s="399"/>
      <c r="Z74" s="399"/>
      <c r="AA74" s="399"/>
      <c r="AB74" s="399"/>
      <c r="AC74" s="399"/>
      <c r="AD74" s="399"/>
      <c r="AE74" s="400"/>
    </row>
    <row r="75" spans="2:31" s="397" customFormat="1" ht="15" customHeight="1">
      <c r="B75" s="398"/>
      <c r="C75" s="487"/>
      <c r="D75" s="485"/>
      <c r="E75" s="485"/>
      <c r="F75" s="485"/>
      <c r="G75" s="485"/>
      <c r="H75" s="485"/>
      <c r="I75" s="485"/>
      <c r="J75" s="485"/>
      <c r="K75" s="485"/>
      <c r="L75" s="485"/>
      <c r="M75" s="485"/>
      <c r="N75" s="485"/>
      <c r="O75" s="485"/>
      <c r="P75" s="485"/>
      <c r="Q75" s="485"/>
      <c r="R75" s="485"/>
      <c r="S75" s="485"/>
      <c r="T75" s="485"/>
      <c r="U75" s="485"/>
      <c r="V75" s="485"/>
      <c r="W75" s="486"/>
      <c r="X75" s="399"/>
      <c r="Y75" s="399"/>
      <c r="Z75" s="399"/>
      <c r="AA75" s="399"/>
      <c r="AB75" s="399"/>
      <c r="AC75" s="399"/>
      <c r="AD75" s="399"/>
      <c r="AE75" s="400"/>
    </row>
    <row r="76" spans="2:31" s="397" customFormat="1" ht="15" customHeight="1">
      <c r="B76" s="398"/>
      <c r="C76" s="487"/>
      <c r="D76" s="485"/>
      <c r="E76" s="485"/>
      <c r="F76" s="485"/>
      <c r="G76" s="485"/>
      <c r="H76" s="485"/>
      <c r="I76" s="485"/>
      <c r="J76" s="485"/>
      <c r="K76" s="485"/>
      <c r="L76" s="485"/>
      <c r="M76" s="485"/>
      <c r="N76" s="485"/>
      <c r="O76" s="485"/>
      <c r="P76" s="485"/>
      <c r="Q76" s="485"/>
      <c r="R76" s="485"/>
      <c r="S76" s="485"/>
      <c r="T76" s="485"/>
      <c r="U76" s="485"/>
      <c r="V76" s="485"/>
      <c r="W76" s="486"/>
      <c r="X76" s="399"/>
      <c r="Y76" s="399"/>
      <c r="Z76" s="399"/>
      <c r="AA76" s="399"/>
      <c r="AB76" s="399"/>
      <c r="AC76" s="399"/>
      <c r="AD76" s="399"/>
      <c r="AE76" s="400"/>
    </row>
    <row r="77" spans="2:31" s="397" customFormat="1" ht="15" customHeight="1">
      <c r="B77" s="398"/>
      <c r="C77" s="487"/>
      <c r="D77" s="485"/>
      <c r="E77" s="485"/>
      <c r="F77" s="485"/>
      <c r="G77" s="485"/>
      <c r="H77" s="485"/>
      <c r="I77" s="485"/>
      <c r="J77" s="485"/>
      <c r="K77" s="485"/>
      <c r="L77" s="485"/>
      <c r="M77" s="485"/>
      <c r="N77" s="485"/>
      <c r="O77" s="485"/>
      <c r="P77" s="485"/>
      <c r="Q77" s="485"/>
      <c r="R77" s="485"/>
      <c r="S77" s="485"/>
      <c r="T77" s="485"/>
      <c r="U77" s="485"/>
      <c r="V77" s="485"/>
      <c r="W77" s="486"/>
      <c r="X77" s="399"/>
      <c r="Y77" s="399"/>
      <c r="Z77" s="399"/>
      <c r="AA77" s="399"/>
      <c r="AB77" s="399"/>
      <c r="AC77" s="399"/>
      <c r="AD77" s="399"/>
      <c r="AE77" s="400"/>
    </row>
    <row r="78" spans="2:31" s="397" customFormat="1" ht="15" customHeight="1">
      <c r="B78" s="398"/>
      <c r="C78" s="487"/>
      <c r="D78" s="485"/>
      <c r="E78" s="485"/>
      <c r="F78" s="485"/>
      <c r="G78" s="485"/>
      <c r="H78" s="485"/>
      <c r="I78" s="485"/>
      <c r="J78" s="485"/>
      <c r="K78" s="485"/>
      <c r="L78" s="485"/>
      <c r="M78" s="485"/>
      <c r="N78" s="485"/>
      <c r="O78" s="485"/>
      <c r="P78" s="485"/>
      <c r="Q78" s="485"/>
      <c r="R78" s="485"/>
      <c r="S78" s="485"/>
      <c r="T78" s="485"/>
      <c r="U78" s="485"/>
      <c r="V78" s="485"/>
      <c r="W78" s="486"/>
      <c r="X78" s="399"/>
      <c r="Y78" s="399"/>
      <c r="Z78" s="399"/>
      <c r="AA78" s="399"/>
      <c r="AB78" s="399"/>
      <c r="AC78" s="399"/>
      <c r="AD78" s="399"/>
      <c r="AE78" s="400"/>
    </row>
    <row r="79" spans="2:31" s="397" customFormat="1" ht="15" customHeight="1">
      <c r="B79" s="398"/>
      <c r="C79" s="487"/>
      <c r="D79" s="485"/>
      <c r="E79" s="485"/>
      <c r="F79" s="485"/>
      <c r="G79" s="485"/>
      <c r="H79" s="485"/>
      <c r="I79" s="485"/>
      <c r="J79" s="485"/>
      <c r="K79" s="485"/>
      <c r="L79" s="485"/>
      <c r="M79" s="485"/>
      <c r="N79" s="485"/>
      <c r="O79" s="485"/>
      <c r="P79" s="485"/>
      <c r="Q79" s="485"/>
      <c r="R79" s="485"/>
      <c r="S79" s="485"/>
      <c r="T79" s="485"/>
      <c r="U79" s="485"/>
      <c r="V79" s="485"/>
      <c r="W79" s="486"/>
      <c r="X79" s="399"/>
      <c r="Y79" s="399"/>
      <c r="Z79" s="399"/>
      <c r="AA79" s="399"/>
      <c r="AB79" s="399"/>
      <c r="AC79" s="399"/>
      <c r="AD79" s="399"/>
      <c r="AE79" s="400"/>
    </row>
    <row r="80" spans="2:31" s="397" customFormat="1" ht="15" customHeight="1">
      <c r="B80" s="398"/>
      <c r="C80" s="487"/>
      <c r="D80" s="485"/>
      <c r="E80" s="485"/>
      <c r="F80" s="485"/>
      <c r="G80" s="485"/>
      <c r="H80" s="485"/>
      <c r="I80" s="485"/>
      <c r="J80" s="485"/>
      <c r="K80" s="485"/>
      <c r="L80" s="485"/>
      <c r="M80" s="485"/>
      <c r="N80" s="485"/>
      <c r="O80" s="485"/>
      <c r="P80" s="485"/>
      <c r="Q80" s="485"/>
      <c r="R80" s="485"/>
      <c r="S80" s="485"/>
      <c r="T80" s="485"/>
      <c r="U80" s="485"/>
      <c r="V80" s="485"/>
      <c r="W80" s="486"/>
      <c r="X80" s="399"/>
      <c r="Y80" s="399"/>
      <c r="Z80" s="399"/>
      <c r="AA80" s="399"/>
      <c r="AB80" s="399"/>
      <c r="AC80" s="399"/>
      <c r="AD80" s="399"/>
      <c r="AE80" s="400"/>
    </row>
    <row r="81" spans="2:31" s="397" customFormat="1" ht="15" customHeight="1">
      <c r="B81" s="398"/>
      <c r="C81" s="488"/>
      <c r="D81" s="489"/>
      <c r="E81" s="489"/>
      <c r="F81" s="489"/>
      <c r="G81" s="489"/>
      <c r="H81" s="489"/>
      <c r="I81" s="489"/>
      <c r="J81" s="489"/>
      <c r="K81" s="489"/>
      <c r="L81" s="489"/>
      <c r="M81" s="489"/>
      <c r="N81" s="489"/>
      <c r="O81" s="489"/>
      <c r="P81" s="489"/>
      <c r="Q81" s="489"/>
      <c r="R81" s="489"/>
      <c r="S81" s="489"/>
      <c r="T81" s="489"/>
      <c r="U81" s="489"/>
      <c r="V81" s="489"/>
      <c r="W81" s="490"/>
      <c r="X81" s="399"/>
      <c r="Y81" s="399"/>
      <c r="Z81" s="399"/>
      <c r="AA81" s="399"/>
      <c r="AB81" s="399"/>
      <c r="AC81" s="399"/>
      <c r="AD81" s="399"/>
      <c r="AE81" s="400"/>
    </row>
    <row r="82" spans="2:31" ht="13.5" thickBot="1">
      <c r="B82" s="202"/>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4"/>
    </row>
    <row r="83" spans="2:25" ht="12.75">
      <c r="B83" s="80"/>
      <c r="C83" s="80"/>
      <c r="D83" s="80"/>
      <c r="F83" s="80"/>
      <c r="G83" s="80"/>
      <c r="H83" s="80"/>
      <c r="K83" s="80"/>
      <c r="L83" s="80"/>
      <c r="M83" s="80"/>
      <c r="O83" s="80"/>
      <c r="P83" s="80"/>
      <c r="Q83" s="80"/>
      <c r="S83" s="80"/>
      <c r="T83" s="80"/>
      <c r="U83" s="80"/>
      <c r="W83" s="80"/>
      <c r="X83" s="80"/>
      <c r="Y83" s="80"/>
    </row>
    <row r="84" spans="2:25" ht="12.75">
      <c r="B84" s="80"/>
      <c r="C84" s="80"/>
      <c r="D84" s="80"/>
      <c r="F84" s="39"/>
      <c r="G84" s="80"/>
      <c r="H84" s="80"/>
      <c r="K84" s="39"/>
      <c r="L84" s="80"/>
      <c r="M84" s="80"/>
      <c r="O84" s="80"/>
      <c r="P84" s="80"/>
      <c r="Q84" s="80"/>
      <c r="S84" s="80"/>
      <c r="T84" s="80"/>
      <c r="U84" s="80"/>
      <c r="W84" s="80"/>
      <c r="X84" s="80"/>
      <c r="Y84" s="80"/>
    </row>
    <row r="85" spans="2:25" ht="12.75">
      <c r="B85" s="80"/>
      <c r="C85" s="80"/>
      <c r="D85" s="80"/>
      <c r="F85" s="39"/>
      <c r="G85" s="205"/>
      <c r="H85" s="80"/>
      <c r="K85" s="39"/>
      <c r="L85" s="205"/>
      <c r="M85" s="80"/>
      <c r="O85" s="80"/>
      <c r="P85" s="80"/>
      <c r="Q85" s="80"/>
      <c r="S85" s="80"/>
      <c r="T85" s="80"/>
      <c r="U85" s="80"/>
      <c r="W85" s="80"/>
      <c r="X85" s="80"/>
      <c r="Y85" s="80"/>
    </row>
    <row r="86" spans="2:25" ht="12.75">
      <c r="B86" s="80"/>
      <c r="C86" s="80"/>
      <c r="D86" s="80"/>
      <c r="F86" s="80"/>
      <c r="G86" s="80"/>
      <c r="H86" s="80"/>
      <c r="K86" s="80"/>
      <c r="L86" s="80"/>
      <c r="M86" s="80"/>
      <c r="O86" s="80"/>
      <c r="P86" s="80"/>
      <c r="Q86" s="80"/>
      <c r="S86" s="80"/>
      <c r="T86" s="80"/>
      <c r="U86" s="80"/>
      <c r="W86" s="80"/>
      <c r="X86" s="80"/>
      <c r="Y86" s="80"/>
    </row>
    <row r="87" spans="2:25" ht="12.75">
      <c r="B87" s="80"/>
      <c r="C87" s="80"/>
      <c r="D87" s="80"/>
      <c r="F87" s="80"/>
      <c r="G87" s="80"/>
      <c r="H87" s="80"/>
      <c r="K87" s="80"/>
      <c r="L87" s="80"/>
      <c r="M87" s="80"/>
      <c r="O87" s="80"/>
      <c r="P87" s="80"/>
      <c r="Q87" s="80"/>
      <c r="S87" s="80"/>
      <c r="T87" s="80"/>
      <c r="U87" s="80"/>
      <c r="W87" s="80"/>
      <c r="X87" s="80"/>
      <c r="Y87" s="80"/>
    </row>
    <row r="88" spans="2:25" ht="12.75">
      <c r="B88" s="80"/>
      <c r="C88" s="80"/>
      <c r="D88" s="80"/>
      <c r="F88" s="80"/>
      <c r="G88" s="317"/>
      <c r="H88" s="80"/>
      <c r="K88" s="80"/>
      <c r="L88" s="317"/>
      <c r="M88" s="80"/>
      <c r="O88" s="80"/>
      <c r="P88" s="80"/>
      <c r="Q88" s="80"/>
      <c r="S88" s="80"/>
      <c r="T88" s="80"/>
      <c r="U88" s="80"/>
      <c r="W88" s="80"/>
      <c r="X88" s="80"/>
      <c r="Y88" s="80"/>
    </row>
    <row r="89" spans="2:25" ht="12.75">
      <c r="B89" s="80"/>
      <c r="C89" s="80"/>
      <c r="D89" s="80"/>
      <c r="F89" s="80"/>
      <c r="G89" s="80"/>
      <c r="H89" s="80"/>
      <c r="K89" s="80"/>
      <c r="L89" s="80"/>
      <c r="M89" s="80"/>
      <c r="O89" s="80"/>
      <c r="P89" s="80"/>
      <c r="Q89" s="80"/>
      <c r="S89" s="80"/>
      <c r="T89" s="80"/>
      <c r="U89" s="80"/>
      <c r="W89" s="80"/>
      <c r="X89" s="80"/>
      <c r="Y89" s="80"/>
    </row>
    <row r="90" spans="2:25" ht="12.75">
      <c r="B90" s="80"/>
      <c r="C90" s="80"/>
      <c r="D90" s="80"/>
      <c r="F90" s="80"/>
      <c r="G90" s="80"/>
      <c r="H90" s="80"/>
      <c r="K90" s="80"/>
      <c r="L90" s="80"/>
      <c r="M90" s="80"/>
      <c r="O90" s="80"/>
      <c r="P90" s="80"/>
      <c r="Q90" s="80"/>
      <c r="S90" s="80"/>
      <c r="T90" s="80"/>
      <c r="U90" s="80"/>
      <c r="W90" s="80"/>
      <c r="X90" s="80"/>
      <c r="Y90" s="80"/>
    </row>
    <row r="91" spans="2:25" ht="12.75">
      <c r="B91" s="80"/>
      <c r="C91" s="80"/>
      <c r="D91" s="80"/>
      <c r="F91" s="80"/>
      <c r="G91" s="80"/>
      <c r="H91" s="80"/>
      <c r="K91" s="80"/>
      <c r="L91" s="80"/>
      <c r="M91" s="80"/>
      <c r="O91" s="80"/>
      <c r="P91" s="80"/>
      <c r="Q91" s="80"/>
      <c r="S91" s="80"/>
      <c r="T91" s="80"/>
      <c r="U91" s="80"/>
      <c r="W91" s="80"/>
      <c r="X91" s="80"/>
      <c r="Y91" s="80"/>
    </row>
    <row r="92" spans="2:25" ht="12.75">
      <c r="B92" s="80"/>
      <c r="C92" s="80"/>
      <c r="D92" s="80"/>
      <c r="F92" s="80"/>
      <c r="G92" s="80"/>
      <c r="H92" s="80"/>
      <c r="K92" s="80"/>
      <c r="L92" s="80"/>
      <c r="M92" s="80"/>
      <c r="O92" s="80"/>
      <c r="P92" s="80"/>
      <c r="Q92" s="80"/>
      <c r="S92" s="80"/>
      <c r="T92" s="80"/>
      <c r="U92" s="80"/>
      <c r="W92" s="80"/>
      <c r="X92" s="80"/>
      <c r="Y92" s="80"/>
    </row>
    <row r="93" spans="2:25" ht="12.75">
      <c r="B93" s="80"/>
      <c r="C93" s="80"/>
      <c r="D93" s="80"/>
      <c r="F93" s="80"/>
      <c r="G93" s="80"/>
      <c r="H93" s="80"/>
      <c r="K93" s="80"/>
      <c r="L93" s="80"/>
      <c r="M93" s="80"/>
      <c r="O93" s="80"/>
      <c r="P93" s="80"/>
      <c r="Q93" s="80"/>
      <c r="S93" s="80"/>
      <c r="T93" s="80"/>
      <c r="U93" s="80"/>
      <c r="W93" s="80"/>
      <c r="X93" s="80"/>
      <c r="Y93" s="80"/>
    </row>
    <row r="94" spans="2:25" ht="12.75">
      <c r="B94" s="80"/>
      <c r="C94" s="80"/>
      <c r="D94" s="80"/>
      <c r="F94" s="80"/>
      <c r="G94" s="80"/>
      <c r="H94" s="80"/>
      <c r="K94" s="80"/>
      <c r="L94" s="80"/>
      <c r="M94" s="80"/>
      <c r="O94" s="80"/>
      <c r="P94" s="80"/>
      <c r="Q94" s="80"/>
      <c r="S94" s="80"/>
      <c r="T94" s="80"/>
      <c r="U94" s="80"/>
      <c r="W94" s="80"/>
      <c r="X94" s="80"/>
      <c r="Y94" s="80"/>
    </row>
    <row r="95" spans="2:25" ht="12.75">
      <c r="B95" s="80"/>
      <c r="C95" s="80"/>
      <c r="D95" s="80"/>
      <c r="F95" s="80"/>
      <c r="G95" s="80"/>
      <c r="H95" s="80"/>
      <c r="K95" s="80"/>
      <c r="L95" s="80"/>
      <c r="M95" s="80"/>
      <c r="O95" s="80"/>
      <c r="P95" s="80"/>
      <c r="Q95" s="80"/>
      <c r="S95" s="80"/>
      <c r="T95" s="80"/>
      <c r="U95" s="80"/>
      <c r="W95" s="80"/>
      <c r="X95" s="80"/>
      <c r="Y95" s="80"/>
    </row>
    <row r="96" spans="2:25" ht="12.75">
      <c r="B96" s="80"/>
      <c r="C96" s="80"/>
      <c r="D96" s="80"/>
      <c r="F96" s="80"/>
      <c r="G96" s="80"/>
      <c r="H96" s="80"/>
      <c r="K96" s="80"/>
      <c r="L96" s="80"/>
      <c r="M96" s="80"/>
      <c r="O96" s="80"/>
      <c r="P96" s="80"/>
      <c r="Q96" s="80"/>
      <c r="S96" s="80"/>
      <c r="T96" s="80"/>
      <c r="U96" s="80"/>
      <c r="W96" s="80"/>
      <c r="X96" s="80"/>
      <c r="Y96" s="80"/>
    </row>
    <row r="97" spans="2:25" ht="12.75">
      <c r="B97" s="80"/>
      <c r="C97" s="80"/>
      <c r="D97" s="80"/>
      <c r="F97" s="80"/>
      <c r="G97" s="80"/>
      <c r="H97" s="80"/>
      <c r="K97" s="80"/>
      <c r="L97" s="80"/>
      <c r="M97" s="80"/>
      <c r="O97" s="80"/>
      <c r="P97" s="80"/>
      <c r="Q97" s="80"/>
      <c r="S97" s="80"/>
      <c r="T97" s="80"/>
      <c r="U97" s="80"/>
      <c r="W97" s="80"/>
      <c r="X97" s="80"/>
      <c r="Y97" s="80"/>
    </row>
    <row r="98" spans="2:25" ht="12.75">
      <c r="B98" s="80"/>
      <c r="C98" s="80"/>
      <c r="D98" s="80"/>
      <c r="F98" s="80"/>
      <c r="G98" s="80"/>
      <c r="H98" s="80"/>
      <c r="K98" s="80"/>
      <c r="L98" s="80"/>
      <c r="M98" s="80"/>
      <c r="O98" s="80"/>
      <c r="P98" s="80"/>
      <c r="Q98" s="80"/>
      <c r="S98" s="80"/>
      <c r="T98" s="80"/>
      <c r="U98" s="80"/>
      <c r="W98" s="80"/>
      <c r="X98" s="80"/>
      <c r="Y98" s="80"/>
    </row>
    <row r="99" spans="2:25" ht="12.75">
      <c r="B99" s="80"/>
      <c r="C99" s="80"/>
      <c r="D99" s="80"/>
      <c r="F99" s="80"/>
      <c r="G99" s="80"/>
      <c r="H99" s="80"/>
      <c r="K99" s="80"/>
      <c r="L99" s="80"/>
      <c r="M99" s="80"/>
      <c r="O99" s="80"/>
      <c r="P99" s="80"/>
      <c r="Q99" s="80"/>
      <c r="S99" s="80"/>
      <c r="T99" s="80"/>
      <c r="U99" s="80"/>
      <c r="W99" s="80"/>
      <c r="X99" s="80"/>
      <c r="Y99" s="80"/>
    </row>
    <row r="100" spans="2:25" ht="12.75">
      <c r="B100" s="80"/>
      <c r="C100" s="80"/>
      <c r="D100" s="80"/>
      <c r="F100" s="80"/>
      <c r="G100" s="80"/>
      <c r="H100" s="80"/>
      <c r="K100" s="80"/>
      <c r="L100" s="80"/>
      <c r="M100" s="80"/>
      <c r="O100" s="80"/>
      <c r="P100" s="80"/>
      <c r="Q100" s="80"/>
      <c r="S100" s="80"/>
      <c r="T100" s="80"/>
      <c r="U100" s="80"/>
      <c r="W100" s="80"/>
      <c r="X100" s="80"/>
      <c r="Y100" s="80"/>
    </row>
    <row r="101" spans="2:25" ht="12.75">
      <c r="B101" s="80"/>
      <c r="C101" s="80"/>
      <c r="D101" s="80"/>
      <c r="F101" s="80"/>
      <c r="G101" s="80"/>
      <c r="H101" s="80"/>
      <c r="K101" s="80"/>
      <c r="L101" s="80"/>
      <c r="M101" s="80"/>
      <c r="O101" s="80"/>
      <c r="P101" s="80"/>
      <c r="Q101" s="80"/>
      <c r="S101" s="80"/>
      <c r="T101" s="80"/>
      <c r="U101" s="80"/>
      <c r="W101" s="80"/>
      <c r="X101" s="80"/>
      <c r="Y101" s="80"/>
    </row>
    <row r="102" spans="2:25" ht="12.75">
      <c r="B102" s="80"/>
      <c r="C102" s="80"/>
      <c r="D102" s="80"/>
      <c r="F102" s="80"/>
      <c r="G102" s="80"/>
      <c r="H102" s="80"/>
      <c r="K102" s="80"/>
      <c r="L102" s="80"/>
      <c r="M102" s="80"/>
      <c r="O102" s="80"/>
      <c r="P102" s="80"/>
      <c r="Q102" s="80"/>
      <c r="S102" s="80"/>
      <c r="T102" s="80"/>
      <c r="U102" s="80"/>
      <c r="W102" s="80"/>
      <c r="X102" s="80"/>
      <c r="Y102" s="80"/>
    </row>
    <row r="103" spans="2:25" ht="12.75">
      <c r="B103" s="80"/>
      <c r="C103" s="80"/>
      <c r="D103" s="80"/>
      <c r="F103" s="80"/>
      <c r="G103" s="80"/>
      <c r="H103" s="80"/>
      <c r="K103" s="80"/>
      <c r="L103" s="80"/>
      <c r="M103" s="80"/>
      <c r="O103" s="80"/>
      <c r="P103" s="80"/>
      <c r="Q103" s="80"/>
      <c r="S103" s="80"/>
      <c r="T103" s="80"/>
      <c r="U103" s="80"/>
      <c r="W103" s="80"/>
      <c r="X103" s="80"/>
      <c r="Y103" s="80"/>
    </row>
    <row r="104" spans="2:25" ht="12.75">
      <c r="B104" s="80"/>
      <c r="C104" s="80"/>
      <c r="D104" s="80"/>
      <c r="F104" s="80"/>
      <c r="G104" s="80"/>
      <c r="H104" s="80"/>
      <c r="K104" s="80"/>
      <c r="L104" s="80"/>
      <c r="M104" s="80"/>
      <c r="O104" s="80"/>
      <c r="P104" s="80"/>
      <c r="Q104" s="80"/>
      <c r="S104" s="80"/>
      <c r="T104" s="80"/>
      <c r="U104" s="80"/>
      <c r="W104" s="80"/>
      <c r="X104" s="80"/>
      <c r="Y104" s="80"/>
    </row>
    <row r="105" spans="2:25" ht="12.75">
      <c r="B105" s="80"/>
      <c r="C105" s="80"/>
      <c r="D105" s="80"/>
      <c r="F105" s="80"/>
      <c r="G105" s="80"/>
      <c r="H105" s="80"/>
      <c r="K105" s="80"/>
      <c r="L105" s="80"/>
      <c r="M105" s="80"/>
      <c r="O105" s="80"/>
      <c r="P105" s="80"/>
      <c r="Q105" s="80"/>
      <c r="S105" s="80"/>
      <c r="T105" s="80"/>
      <c r="U105" s="80"/>
      <c r="W105" s="80"/>
      <c r="X105" s="80"/>
      <c r="Y105" s="80"/>
    </row>
    <row r="106" spans="2:25" ht="12.75">
      <c r="B106" s="80"/>
      <c r="C106" s="80"/>
      <c r="D106" s="80"/>
      <c r="F106" s="80"/>
      <c r="G106" s="80"/>
      <c r="H106" s="80"/>
      <c r="K106" s="80"/>
      <c r="L106" s="80"/>
      <c r="M106" s="80"/>
      <c r="O106" s="80"/>
      <c r="P106" s="80"/>
      <c r="Q106" s="80"/>
      <c r="S106" s="80"/>
      <c r="T106" s="80"/>
      <c r="U106" s="80"/>
      <c r="W106" s="80"/>
      <c r="X106" s="80"/>
      <c r="Y106" s="80"/>
    </row>
    <row r="107" spans="2:25" ht="12.75">
      <c r="B107" s="80"/>
      <c r="C107" s="80"/>
      <c r="D107" s="80"/>
      <c r="F107" s="80"/>
      <c r="G107" s="80"/>
      <c r="H107" s="80"/>
      <c r="K107" s="80"/>
      <c r="L107" s="80"/>
      <c r="M107" s="80"/>
      <c r="O107" s="80"/>
      <c r="P107" s="80"/>
      <c r="Q107" s="80"/>
      <c r="S107" s="80"/>
      <c r="T107" s="80"/>
      <c r="U107" s="80"/>
      <c r="W107" s="80"/>
      <c r="X107" s="80"/>
      <c r="Y107" s="80"/>
    </row>
    <row r="108" spans="2:25" ht="12.75">
      <c r="B108" s="80"/>
      <c r="C108" s="80"/>
      <c r="D108" s="80"/>
      <c r="F108" s="80"/>
      <c r="G108" s="80"/>
      <c r="H108" s="80"/>
      <c r="K108" s="80"/>
      <c r="L108" s="80"/>
      <c r="M108" s="80"/>
      <c r="O108" s="80"/>
      <c r="P108" s="80"/>
      <c r="Q108" s="80"/>
      <c r="S108" s="80"/>
      <c r="T108" s="80"/>
      <c r="U108" s="80"/>
      <c r="W108" s="80"/>
      <c r="X108" s="80"/>
      <c r="Y108" s="80"/>
    </row>
    <row r="109" spans="2:25" ht="12.75">
      <c r="B109" s="80"/>
      <c r="C109" s="80"/>
      <c r="D109" s="80"/>
      <c r="F109" s="80"/>
      <c r="G109" s="80"/>
      <c r="H109" s="80"/>
      <c r="K109" s="80"/>
      <c r="L109" s="80"/>
      <c r="M109" s="80"/>
      <c r="O109" s="80"/>
      <c r="P109" s="80"/>
      <c r="Q109" s="80"/>
      <c r="S109" s="80"/>
      <c r="T109" s="80"/>
      <c r="U109" s="80"/>
      <c r="W109" s="80"/>
      <c r="X109" s="80"/>
      <c r="Y109" s="80"/>
    </row>
    <row r="110" spans="2:25" ht="12.75">
      <c r="B110" s="80"/>
      <c r="C110" s="80"/>
      <c r="D110" s="80"/>
      <c r="F110" s="80"/>
      <c r="G110" s="80"/>
      <c r="H110" s="80"/>
      <c r="K110" s="80"/>
      <c r="L110" s="80"/>
      <c r="M110" s="80"/>
      <c r="O110" s="80"/>
      <c r="P110" s="80"/>
      <c r="Q110" s="80"/>
      <c r="S110" s="80"/>
      <c r="T110" s="80"/>
      <c r="U110" s="80"/>
      <c r="W110" s="80"/>
      <c r="X110" s="80"/>
      <c r="Y110" s="80"/>
    </row>
    <row r="111" spans="2:25" ht="12.75">
      <c r="B111" s="80"/>
      <c r="C111" s="80"/>
      <c r="D111" s="80"/>
      <c r="F111" s="80"/>
      <c r="G111" s="80"/>
      <c r="H111" s="80"/>
      <c r="K111" s="80"/>
      <c r="L111" s="80"/>
      <c r="M111" s="80"/>
      <c r="O111" s="80"/>
      <c r="P111" s="80"/>
      <c r="Q111" s="80"/>
      <c r="S111" s="80"/>
      <c r="T111" s="80"/>
      <c r="U111" s="80"/>
      <c r="W111" s="80"/>
      <c r="X111" s="80"/>
      <c r="Y111" s="80"/>
    </row>
    <row r="112" spans="2:25" ht="12.75">
      <c r="B112" s="80"/>
      <c r="C112" s="80"/>
      <c r="D112" s="80"/>
      <c r="F112" s="80"/>
      <c r="G112" s="80"/>
      <c r="H112" s="80"/>
      <c r="K112" s="80"/>
      <c r="L112" s="80"/>
      <c r="M112" s="80"/>
      <c r="O112" s="80"/>
      <c r="P112" s="80"/>
      <c r="Q112" s="80"/>
      <c r="S112" s="80"/>
      <c r="T112" s="80"/>
      <c r="U112" s="80"/>
      <c r="W112" s="80"/>
      <c r="X112" s="80"/>
      <c r="Y112" s="80"/>
    </row>
    <row r="113" spans="2:25" ht="12.75">
      <c r="B113" s="80"/>
      <c r="C113" s="80"/>
      <c r="D113" s="80"/>
      <c r="F113" s="80"/>
      <c r="G113" s="80"/>
      <c r="H113" s="80"/>
      <c r="K113" s="80"/>
      <c r="L113" s="80"/>
      <c r="M113" s="80"/>
      <c r="O113" s="80"/>
      <c r="P113" s="80"/>
      <c r="Q113" s="80"/>
      <c r="S113" s="80"/>
      <c r="T113" s="80"/>
      <c r="U113" s="80"/>
      <c r="W113" s="80"/>
      <c r="X113" s="80"/>
      <c r="Y113" s="80"/>
    </row>
    <row r="114" spans="2:25" ht="12.75">
      <c r="B114" s="80"/>
      <c r="C114" s="80"/>
      <c r="D114" s="80"/>
      <c r="F114" s="80"/>
      <c r="G114" s="80"/>
      <c r="H114" s="80"/>
      <c r="K114" s="80"/>
      <c r="L114" s="80"/>
      <c r="M114" s="80"/>
      <c r="O114" s="80"/>
      <c r="P114" s="80"/>
      <c r="Q114" s="80"/>
      <c r="S114" s="80"/>
      <c r="T114" s="80"/>
      <c r="U114" s="80"/>
      <c r="W114" s="80"/>
      <c r="X114" s="80"/>
      <c r="Y114" s="80"/>
    </row>
    <row r="115" spans="2:25" ht="12.75">
      <c r="B115" s="80"/>
      <c r="C115" s="80"/>
      <c r="D115" s="80"/>
      <c r="F115" s="80"/>
      <c r="G115" s="80"/>
      <c r="H115" s="80"/>
      <c r="K115" s="80"/>
      <c r="L115" s="80"/>
      <c r="M115" s="80"/>
      <c r="O115" s="80"/>
      <c r="P115" s="80"/>
      <c r="Q115" s="80"/>
      <c r="S115" s="80"/>
      <c r="T115" s="80"/>
      <c r="U115" s="80"/>
      <c r="W115" s="80"/>
      <c r="X115" s="80"/>
      <c r="Y115" s="80"/>
    </row>
    <row r="116" spans="2:25" ht="12.75">
      <c r="B116" s="80"/>
      <c r="C116" s="80"/>
      <c r="D116" s="80"/>
      <c r="F116" s="80"/>
      <c r="G116" s="80"/>
      <c r="H116" s="80"/>
      <c r="K116" s="80"/>
      <c r="L116" s="80"/>
      <c r="M116" s="80"/>
      <c r="O116" s="80"/>
      <c r="P116" s="80"/>
      <c r="Q116" s="80"/>
      <c r="S116" s="80"/>
      <c r="T116" s="80"/>
      <c r="U116" s="80"/>
      <c r="W116" s="80"/>
      <c r="X116" s="80"/>
      <c r="Y116" s="80"/>
    </row>
    <row r="117" spans="2:25" ht="12.75">
      <c r="B117" s="80"/>
      <c r="C117" s="80"/>
      <c r="D117" s="80"/>
      <c r="F117" s="80"/>
      <c r="G117" s="80"/>
      <c r="H117" s="80"/>
      <c r="K117" s="80"/>
      <c r="L117" s="80"/>
      <c r="M117" s="80"/>
      <c r="O117" s="80"/>
      <c r="P117" s="80"/>
      <c r="Q117" s="80"/>
      <c r="S117" s="80"/>
      <c r="T117" s="80"/>
      <c r="U117" s="80"/>
      <c r="W117" s="80"/>
      <c r="X117" s="80"/>
      <c r="Y117" s="80"/>
    </row>
    <row r="118" spans="2:25" ht="12.75">
      <c r="B118" s="80"/>
      <c r="C118" s="80"/>
      <c r="D118" s="80"/>
      <c r="F118" s="80"/>
      <c r="G118" s="80"/>
      <c r="H118" s="80"/>
      <c r="K118" s="80"/>
      <c r="L118" s="80"/>
      <c r="M118" s="80"/>
      <c r="O118" s="80"/>
      <c r="P118" s="80"/>
      <c r="Q118" s="80"/>
      <c r="S118" s="80"/>
      <c r="T118" s="80"/>
      <c r="U118" s="80"/>
      <c r="W118" s="80"/>
      <c r="X118" s="80"/>
      <c r="Y118" s="80"/>
    </row>
    <row r="119" spans="2:25" ht="12.75">
      <c r="B119" s="80"/>
      <c r="C119" s="80"/>
      <c r="D119" s="80"/>
      <c r="F119" s="80"/>
      <c r="G119" s="80"/>
      <c r="H119" s="80"/>
      <c r="K119" s="80"/>
      <c r="L119" s="80"/>
      <c r="M119" s="80"/>
      <c r="O119" s="80"/>
      <c r="P119" s="80"/>
      <c r="Q119" s="80"/>
      <c r="S119" s="80"/>
      <c r="T119" s="80"/>
      <c r="U119" s="80"/>
      <c r="W119" s="80"/>
      <c r="X119" s="80"/>
      <c r="Y119" s="80"/>
    </row>
    <row r="120" spans="2:25" ht="12.75">
      <c r="B120" s="80"/>
      <c r="C120" s="80"/>
      <c r="D120" s="80"/>
      <c r="F120" s="80"/>
      <c r="G120" s="80"/>
      <c r="H120" s="80"/>
      <c r="K120" s="80"/>
      <c r="L120" s="80"/>
      <c r="M120" s="80"/>
      <c r="O120" s="80"/>
      <c r="P120" s="80"/>
      <c r="Q120" s="80"/>
      <c r="S120" s="80"/>
      <c r="T120" s="80"/>
      <c r="U120" s="80"/>
      <c r="W120" s="80"/>
      <c r="X120" s="80"/>
      <c r="Y120" s="80"/>
    </row>
    <row r="121" spans="2:25" ht="12.75">
      <c r="B121" s="80"/>
      <c r="C121" s="80"/>
      <c r="D121" s="80"/>
      <c r="F121" s="80"/>
      <c r="G121" s="80"/>
      <c r="H121" s="80"/>
      <c r="K121" s="80"/>
      <c r="L121" s="80"/>
      <c r="M121" s="80"/>
      <c r="O121" s="80"/>
      <c r="P121" s="80"/>
      <c r="Q121" s="80"/>
      <c r="S121" s="80"/>
      <c r="T121" s="80"/>
      <c r="U121" s="80"/>
      <c r="W121" s="80"/>
      <c r="X121" s="80"/>
      <c r="Y121" s="80"/>
    </row>
    <row r="122" spans="2:25" ht="12.75">
      <c r="B122" s="80"/>
      <c r="C122" s="80"/>
      <c r="D122" s="80"/>
      <c r="F122" s="80"/>
      <c r="G122" s="80"/>
      <c r="H122" s="80"/>
      <c r="K122" s="80"/>
      <c r="L122" s="80"/>
      <c r="M122" s="80"/>
      <c r="O122" s="80"/>
      <c r="P122" s="80"/>
      <c r="Q122" s="80"/>
      <c r="S122" s="80"/>
      <c r="T122" s="80"/>
      <c r="U122" s="80"/>
      <c r="W122" s="80"/>
      <c r="X122" s="80"/>
      <c r="Y122" s="80"/>
    </row>
    <row r="123" spans="2:25" ht="12.75">
      <c r="B123" s="80"/>
      <c r="C123" s="80"/>
      <c r="D123" s="80"/>
      <c r="F123" s="80"/>
      <c r="G123" s="80"/>
      <c r="H123" s="80"/>
      <c r="K123" s="80"/>
      <c r="L123" s="80"/>
      <c r="M123" s="80"/>
      <c r="O123" s="80"/>
      <c r="P123" s="80"/>
      <c r="Q123" s="80"/>
      <c r="S123" s="80"/>
      <c r="T123" s="80"/>
      <c r="U123" s="80"/>
      <c r="W123" s="80"/>
      <c r="X123" s="80"/>
      <c r="Y123" s="80"/>
    </row>
    <row r="124" spans="2:25" ht="12.75">
      <c r="B124" s="80"/>
      <c r="C124" s="80"/>
      <c r="D124" s="80"/>
      <c r="F124" s="80"/>
      <c r="G124" s="80"/>
      <c r="H124" s="80"/>
      <c r="K124" s="80"/>
      <c r="L124" s="80"/>
      <c r="M124" s="80"/>
      <c r="O124" s="80"/>
      <c r="P124" s="80"/>
      <c r="Q124" s="80"/>
      <c r="S124" s="80"/>
      <c r="T124" s="80"/>
      <c r="U124" s="80"/>
      <c r="W124" s="80"/>
      <c r="X124" s="80"/>
      <c r="Y124" s="80"/>
    </row>
    <row r="125" spans="2:25" ht="12.75">
      <c r="B125" s="80"/>
      <c r="C125" s="80"/>
      <c r="D125" s="80"/>
      <c r="F125" s="80"/>
      <c r="G125" s="80"/>
      <c r="H125" s="80"/>
      <c r="K125" s="80"/>
      <c r="L125" s="80"/>
      <c r="M125" s="80"/>
      <c r="O125" s="80"/>
      <c r="P125" s="80"/>
      <c r="Q125" s="80"/>
      <c r="S125" s="80"/>
      <c r="T125" s="80"/>
      <c r="U125" s="80"/>
      <c r="W125" s="80"/>
      <c r="X125" s="80"/>
      <c r="Y125" s="80"/>
    </row>
    <row r="126" spans="2:25" ht="12.75">
      <c r="B126" s="80"/>
      <c r="C126" s="80"/>
      <c r="D126" s="80"/>
      <c r="F126" s="80"/>
      <c r="G126" s="80"/>
      <c r="H126" s="80"/>
      <c r="K126" s="80"/>
      <c r="L126" s="80"/>
      <c r="M126" s="80"/>
      <c r="O126" s="80"/>
      <c r="P126" s="80"/>
      <c r="Q126" s="80"/>
      <c r="S126" s="80"/>
      <c r="T126" s="80"/>
      <c r="U126" s="80"/>
      <c r="W126" s="80"/>
      <c r="X126" s="80"/>
      <c r="Y126" s="80"/>
    </row>
    <row r="127" spans="2:25" ht="12.75">
      <c r="B127" s="80"/>
      <c r="C127" s="80"/>
      <c r="D127" s="80"/>
      <c r="F127" s="80"/>
      <c r="G127" s="80"/>
      <c r="H127" s="80"/>
      <c r="K127" s="80"/>
      <c r="L127" s="80"/>
      <c r="M127" s="80"/>
      <c r="O127" s="80"/>
      <c r="P127" s="80"/>
      <c r="Q127" s="80"/>
      <c r="S127" s="80"/>
      <c r="T127" s="80"/>
      <c r="U127" s="80"/>
      <c r="W127" s="80"/>
      <c r="X127" s="80"/>
      <c r="Y127" s="80"/>
    </row>
    <row r="128" spans="2:25" ht="12.75">
      <c r="B128" s="80"/>
      <c r="C128" s="80"/>
      <c r="D128" s="80"/>
      <c r="F128" s="80"/>
      <c r="G128" s="80"/>
      <c r="H128" s="80"/>
      <c r="K128" s="80"/>
      <c r="L128" s="80"/>
      <c r="M128" s="80"/>
      <c r="O128" s="80"/>
      <c r="P128" s="80"/>
      <c r="Q128" s="80"/>
      <c r="S128" s="80"/>
      <c r="T128" s="80"/>
      <c r="U128" s="80"/>
      <c r="W128" s="80"/>
      <c r="X128" s="80"/>
      <c r="Y128" s="80"/>
    </row>
    <row r="129" spans="2:25" ht="12.75">
      <c r="B129" s="80"/>
      <c r="C129" s="80"/>
      <c r="D129" s="80"/>
      <c r="F129" s="80"/>
      <c r="G129" s="80"/>
      <c r="H129" s="80"/>
      <c r="K129" s="80"/>
      <c r="L129" s="80"/>
      <c r="M129" s="80"/>
      <c r="O129" s="80"/>
      <c r="P129" s="80"/>
      <c r="Q129" s="80"/>
      <c r="S129" s="80"/>
      <c r="T129" s="80"/>
      <c r="U129" s="80"/>
      <c r="W129" s="80"/>
      <c r="X129" s="80"/>
      <c r="Y129" s="80"/>
    </row>
    <row r="130" spans="2:25" ht="12.75">
      <c r="B130" s="80"/>
      <c r="C130" s="80"/>
      <c r="D130" s="80"/>
      <c r="F130" s="80"/>
      <c r="G130" s="80"/>
      <c r="H130" s="80"/>
      <c r="K130" s="80"/>
      <c r="L130" s="80"/>
      <c r="M130" s="80"/>
      <c r="O130" s="80"/>
      <c r="P130" s="80"/>
      <c r="Q130" s="80"/>
      <c r="S130" s="80"/>
      <c r="T130" s="80"/>
      <c r="U130" s="80"/>
      <c r="W130" s="80"/>
      <c r="X130" s="80"/>
      <c r="Y130" s="80"/>
    </row>
    <row r="131" spans="2:25" ht="12.75">
      <c r="B131" s="80"/>
      <c r="C131" s="80"/>
      <c r="D131" s="80"/>
      <c r="F131" s="80"/>
      <c r="G131" s="80"/>
      <c r="H131" s="80"/>
      <c r="K131" s="80"/>
      <c r="L131" s="80"/>
      <c r="M131" s="80"/>
      <c r="O131" s="80"/>
      <c r="P131" s="80"/>
      <c r="Q131" s="80"/>
      <c r="S131" s="80"/>
      <c r="T131" s="80"/>
      <c r="U131" s="80"/>
      <c r="W131" s="80"/>
      <c r="X131" s="80"/>
      <c r="Y131" s="80"/>
    </row>
    <row r="132" spans="2:25" ht="12.75">
      <c r="B132" s="80"/>
      <c r="C132" s="80"/>
      <c r="D132" s="80"/>
      <c r="F132" s="80"/>
      <c r="G132" s="80"/>
      <c r="H132" s="80"/>
      <c r="K132" s="80"/>
      <c r="L132" s="80"/>
      <c r="M132" s="80"/>
      <c r="O132" s="80"/>
      <c r="P132" s="80"/>
      <c r="Q132" s="80"/>
      <c r="S132" s="80"/>
      <c r="T132" s="80"/>
      <c r="U132" s="80"/>
      <c r="W132" s="80"/>
      <c r="X132" s="80"/>
      <c r="Y132" s="80"/>
    </row>
    <row r="133" spans="2:25" ht="12.75">
      <c r="B133" s="80"/>
      <c r="C133" s="80"/>
      <c r="D133" s="80"/>
      <c r="F133" s="80"/>
      <c r="G133" s="80"/>
      <c r="H133" s="80"/>
      <c r="K133" s="80"/>
      <c r="L133" s="80"/>
      <c r="M133" s="80"/>
      <c r="O133" s="80"/>
      <c r="P133" s="80"/>
      <c r="Q133" s="80"/>
      <c r="S133" s="80"/>
      <c r="T133" s="80"/>
      <c r="U133" s="80"/>
      <c r="W133" s="80"/>
      <c r="X133" s="80"/>
      <c r="Y133" s="80"/>
    </row>
    <row r="134" spans="2:25" ht="12.75">
      <c r="B134" s="80"/>
      <c r="C134" s="80"/>
      <c r="D134" s="80"/>
      <c r="F134" s="80"/>
      <c r="G134" s="80"/>
      <c r="H134" s="80"/>
      <c r="K134" s="80"/>
      <c r="L134" s="80"/>
      <c r="M134" s="80"/>
      <c r="O134" s="80"/>
      <c r="P134" s="80"/>
      <c r="Q134" s="80"/>
      <c r="S134" s="80"/>
      <c r="T134" s="80"/>
      <c r="U134" s="80"/>
      <c r="W134" s="80"/>
      <c r="X134" s="80"/>
      <c r="Y134" s="80"/>
    </row>
    <row r="135" spans="2:25" ht="12.75">
      <c r="B135" s="80"/>
      <c r="C135" s="80"/>
      <c r="D135" s="80"/>
      <c r="F135" s="80"/>
      <c r="G135" s="80"/>
      <c r="H135" s="80"/>
      <c r="K135" s="80"/>
      <c r="L135" s="80"/>
      <c r="M135" s="80"/>
      <c r="O135" s="80"/>
      <c r="P135" s="80"/>
      <c r="Q135" s="80"/>
      <c r="S135" s="80"/>
      <c r="T135" s="80"/>
      <c r="U135" s="80"/>
      <c r="W135" s="80"/>
      <c r="X135" s="80"/>
      <c r="Y135" s="80"/>
    </row>
    <row r="136" spans="2:25" ht="12.75">
      <c r="B136" s="80"/>
      <c r="C136" s="80"/>
      <c r="D136" s="80"/>
      <c r="F136" s="80"/>
      <c r="G136" s="80"/>
      <c r="H136" s="80"/>
      <c r="K136" s="80"/>
      <c r="L136" s="80"/>
      <c r="M136" s="80"/>
      <c r="O136" s="80"/>
      <c r="P136" s="80"/>
      <c r="Q136" s="80"/>
      <c r="S136" s="80"/>
      <c r="T136" s="80"/>
      <c r="U136" s="80"/>
      <c r="W136" s="80"/>
      <c r="X136" s="80"/>
      <c r="Y136" s="80"/>
    </row>
    <row r="137" spans="2:25" ht="12.75">
      <c r="B137" s="80"/>
      <c r="C137" s="80"/>
      <c r="D137" s="80"/>
      <c r="F137" s="80"/>
      <c r="G137" s="80"/>
      <c r="H137" s="80"/>
      <c r="K137" s="80"/>
      <c r="L137" s="80"/>
      <c r="M137" s="80"/>
      <c r="O137" s="80"/>
      <c r="P137" s="80"/>
      <c r="Q137" s="80"/>
      <c r="S137" s="80"/>
      <c r="T137" s="80"/>
      <c r="U137" s="80"/>
      <c r="W137" s="80"/>
      <c r="X137" s="80"/>
      <c r="Y137" s="80"/>
    </row>
    <row r="138" spans="2:25" ht="12.75">
      <c r="B138" s="80"/>
      <c r="C138" s="80"/>
      <c r="D138" s="80"/>
      <c r="F138" s="80"/>
      <c r="G138" s="80"/>
      <c r="H138" s="80"/>
      <c r="K138" s="80"/>
      <c r="L138" s="80"/>
      <c r="M138" s="80"/>
      <c r="O138" s="80"/>
      <c r="P138" s="80"/>
      <c r="Q138" s="80"/>
      <c r="S138" s="80"/>
      <c r="T138" s="80"/>
      <c r="U138" s="80"/>
      <c r="W138" s="80"/>
      <c r="X138" s="80"/>
      <c r="Y138" s="80"/>
    </row>
    <row r="139" spans="2:25" ht="12.75">
      <c r="B139" s="80"/>
      <c r="C139" s="80"/>
      <c r="D139" s="80"/>
      <c r="F139" s="80"/>
      <c r="G139" s="80"/>
      <c r="H139" s="80"/>
      <c r="K139" s="80"/>
      <c r="L139" s="80"/>
      <c r="M139" s="80"/>
      <c r="O139" s="80"/>
      <c r="P139" s="80"/>
      <c r="Q139" s="80"/>
      <c r="S139" s="80"/>
      <c r="T139" s="80"/>
      <c r="U139" s="80"/>
      <c r="W139" s="80"/>
      <c r="X139" s="80"/>
      <c r="Y139" s="80"/>
    </row>
    <row r="140" spans="2:25" ht="12.75">
      <c r="B140" s="80"/>
      <c r="C140" s="80"/>
      <c r="D140" s="80"/>
      <c r="F140" s="80"/>
      <c r="G140" s="80"/>
      <c r="H140" s="80"/>
      <c r="K140" s="80"/>
      <c r="L140" s="80"/>
      <c r="M140" s="80"/>
      <c r="O140" s="80"/>
      <c r="P140" s="80"/>
      <c r="Q140" s="80"/>
      <c r="S140" s="80"/>
      <c r="T140" s="80"/>
      <c r="U140" s="80"/>
      <c r="W140" s="80"/>
      <c r="X140" s="80"/>
      <c r="Y140" s="80"/>
    </row>
    <row r="141" spans="2:25" ht="12.75">
      <c r="B141" s="80"/>
      <c r="C141" s="80"/>
      <c r="D141" s="80"/>
      <c r="F141" s="80"/>
      <c r="G141" s="80"/>
      <c r="H141" s="80"/>
      <c r="K141" s="80"/>
      <c r="L141" s="80"/>
      <c r="M141" s="80"/>
      <c r="O141" s="80"/>
      <c r="P141" s="80"/>
      <c r="Q141" s="80"/>
      <c r="S141" s="80"/>
      <c r="T141" s="80"/>
      <c r="U141" s="80"/>
      <c r="W141" s="80"/>
      <c r="X141" s="80"/>
      <c r="Y141" s="80"/>
    </row>
    <row r="142" spans="2:25" ht="12.75">
      <c r="B142" s="80"/>
      <c r="C142" s="80"/>
      <c r="D142" s="80"/>
      <c r="F142" s="80"/>
      <c r="G142" s="80"/>
      <c r="H142" s="80"/>
      <c r="K142" s="80"/>
      <c r="L142" s="80"/>
      <c r="M142" s="80"/>
      <c r="O142" s="80"/>
      <c r="P142" s="80"/>
      <c r="Q142" s="80"/>
      <c r="S142" s="80"/>
      <c r="T142" s="80"/>
      <c r="U142" s="80"/>
      <c r="W142" s="80"/>
      <c r="X142" s="80"/>
      <c r="Y142" s="80"/>
    </row>
    <row r="143" spans="2:25" ht="12.75">
      <c r="B143" s="80"/>
      <c r="C143" s="80"/>
      <c r="D143" s="80"/>
      <c r="F143" s="80"/>
      <c r="G143" s="80"/>
      <c r="H143" s="80"/>
      <c r="K143" s="80"/>
      <c r="L143" s="80"/>
      <c r="M143" s="80"/>
      <c r="O143" s="80"/>
      <c r="P143" s="80"/>
      <c r="Q143" s="80"/>
      <c r="S143" s="80"/>
      <c r="T143" s="80"/>
      <c r="U143" s="80"/>
      <c r="W143" s="80"/>
      <c r="X143" s="80"/>
      <c r="Y143" s="80"/>
    </row>
    <row r="144" spans="2:25" ht="12.75">
      <c r="B144" s="80"/>
      <c r="C144" s="80"/>
      <c r="D144" s="80"/>
      <c r="F144" s="80"/>
      <c r="G144" s="80"/>
      <c r="H144" s="80"/>
      <c r="K144" s="80"/>
      <c r="L144" s="80"/>
      <c r="M144" s="80"/>
      <c r="O144" s="80"/>
      <c r="P144" s="80"/>
      <c r="Q144" s="80"/>
      <c r="S144" s="80"/>
      <c r="T144" s="80"/>
      <c r="U144" s="80"/>
      <c r="W144" s="80"/>
      <c r="X144" s="80"/>
      <c r="Y144" s="80"/>
    </row>
    <row r="145" spans="2:25" ht="12.75">
      <c r="B145" s="80"/>
      <c r="C145" s="80"/>
      <c r="D145" s="80"/>
      <c r="F145" s="80"/>
      <c r="G145" s="80"/>
      <c r="H145" s="80"/>
      <c r="K145" s="80"/>
      <c r="L145" s="80"/>
      <c r="M145" s="80"/>
      <c r="O145" s="80"/>
      <c r="P145" s="80"/>
      <c r="Q145" s="80"/>
      <c r="S145" s="80"/>
      <c r="T145" s="80"/>
      <c r="U145" s="80"/>
      <c r="W145" s="80"/>
      <c r="X145" s="80"/>
      <c r="Y145" s="80"/>
    </row>
    <row r="146" spans="2:25" ht="12.75">
      <c r="B146" s="80"/>
      <c r="C146" s="80"/>
      <c r="D146" s="80"/>
      <c r="F146" s="80"/>
      <c r="G146" s="80"/>
      <c r="H146" s="80"/>
      <c r="K146" s="80"/>
      <c r="L146" s="80"/>
      <c r="M146" s="80"/>
      <c r="O146" s="80"/>
      <c r="P146" s="80"/>
      <c r="Q146" s="80"/>
      <c r="S146" s="80"/>
      <c r="T146" s="80"/>
      <c r="U146" s="80"/>
      <c r="W146" s="80"/>
      <c r="X146" s="80"/>
      <c r="Y146" s="80"/>
    </row>
    <row r="147" spans="2:25" ht="12.75">
      <c r="B147" s="80"/>
      <c r="C147" s="80"/>
      <c r="D147" s="80"/>
      <c r="F147" s="80"/>
      <c r="G147" s="80"/>
      <c r="H147" s="80"/>
      <c r="K147" s="80"/>
      <c r="L147" s="80"/>
      <c r="M147" s="80"/>
      <c r="O147" s="80"/>
      <c r="P147" s="80"/>
      <c r="Q147" s="80"/>
      <c r="S147" s="80"/>
      <c r="T147" s="80"/>
      <c r="U147" s="80"/>
      <c r="W147" s="80"/>
      <c r="X147" s="80"/>
      <c r="Y147" s="80"/>
    </row>
    <row r="148" spans="2:25" ht="12.75">
      <c r="B148" s="80"/>
      <c r="C148" s="80"/>
      <c r="D148" s="80"/>
      <c r="F148" s="80"/>
      <c r="G148" s="80"/>
      <c r="H148" s="80"/>
      <c r="K148" s="80"/>
      <c r="L148" s="80"/>
      <c r="M148" s="80"/>
      <c r="O148" s="80"/>
      <c r="P148" s="80"/>
      <c r="Q148" s="80"/>
      <c r="S148" s="80"/>
      <c r="T148" s="80"/>
      <c r="U148" s="80"/>
      <c r="W148" s="80"/>
      <c r="X148" s="80"/>
      <c r="Y148" s="80"/>
    </row>
    <row r="149" spans="2:25" ht="12.75">
      <c r="B149" s="80"/>
      <c r="C149" s="80"/>
      <c r="D149" s="80"/>
      <c r="F149" s="80"/>
      <c r="G149" s="80"/>
      <c r="H149" s="80"/>
      <c r="K149" s="80"/>
      <c r="L149" s="80"/>
      <c r="M149" s="80"/>
      <c r="O149" s="80"/>
      <c r="P149" s="80"/>
      <c r="Q149" s="80"/>
      <c r="S149" s="80"/>
      <c r="T149" s="80"/>
      <c r="U149" s="80"/>
      <c r="W149" s="80"/>
      <c r="X149" s="80"/>
      <c r="Y149" s="80"/>
    </row>
    <row r="150" spans="2:25" ht="12.75">
      <c r="B150" s="80"/>
      <c r="C150" s="80"/>
      <c r="D150" s="80"/>
      <c r="F150" s="80"/>
      <c r="G150" s="80"/>
      <c r="H150" s="80"/>
      <c r="K150" s="80"/>
      <c r="L150" s="80"/>
      <c r="M150" s="80"/>
      <c r="O150" s="80"/>
      <c r="P150" s="80"/>
      <c r="Q150" s="80"/>
      <c r="S150" s="80"/>
      <c r="T150" s="80"/>
      <c r="U150" s="80"/>
      <c r="W150" s="80"/>
      <c r="X150" s="80"/>
      <c r="Y150" s="80"/>
    </row>
    <row r="151" spans="2:25" ht="12.75">
      <c r="B151" s="80"/>
      <c r="C151" s="80"/>
      <c r="D151" s="80"/>
      <c r="F151" s="80"/>
      <c r="G151" s="80"/>
      <c r="H151" s="80"/>
      <c r="K151" s="80"/>
      <c r="L151" s="80"/>
      <c r="M151" s="80"/>
      <c r="O151" s="80"/>
      <c r="P151" s="80"/>
      <c r="Q151" s="80"/>
      <c r="S151" s="80"/>
      <c r="T151" s="80"/>
      <c r="U151" s="80"/>
      <c r="W151" s="80"/>
      <c r="X151" s="80"/>
      <c r="Y151" s="80"/>
    </row>
    <row r="152" spans="2:25" ht="12.75">
      <c r="B152" s="80"/>
      <c r="C152" s="80"/>
      <c r="D152" s="80"/>
      <c r="F152" s="80"/>
      <c r="G152" s="80"/>
      <c r="H152" s="80"/>
      <c r="K152" s="80"/>
      <c r="L152" s="80"/>
      <c r="M152" s="80"/>
      <c r="O152" s="80"/>
      <c r="P152" s="80"/>
      <c r="Q152" s="80"/>
      <c r="S152" s="80"/>
      <c r="T152" s="80"/>
      <c r="U152" s="80"/>
      <c r="W152" s="80"/>
      <c r="X152" s="80"/>
      <c r="Y152" s="80"/>
    </row>
    <row r="153" spans="2:25" ht="12.75">
      <c r="B153" s="80"/>
      <c r="C153" s="80"/>
      <c r="D153" s="80"/>
      <c r="F153" s="80"/>
      <c r="G153" s="80"/>
      <c r="H153" s="80"/>
      <c r="K153" s="80"/>
      <c r="L153" s="80"/>
      <c r="M153" s="80"/>
      <c r="O153" s="80"/>
      <c r="P153" s="80"/>
      <c r="Q153" s="80"/>
      <c r="S153" s="80"/>
      <c r="T153" s="80"/>
      <c r="U153" s="80"/>
      <c r="W153" s="80"/>
      <c r="X153" s="80"/>
      <c r="Y153" s="80"/>
    </row>
    <row r="154" spans="2:25" ht="12.75">
      <c r="B154" s="80"/>
      <c r="C154" s="80"/>
      <c r="D154" s="80"/>
      <c r="F154" s="80"/>
      <c r="G154" s="80"/>
      <c r="H154" s="80"/>
      <c r="K154" s="80"/>
      <c r="L154" s="80"/>
      <c r="M154" s="80"/>
      <c r="O154" s="80"/>
      <c r="P154" s="80"/>
      <c r="Q154" s="80"/>
      <c r="S154" s="80"/>
      <c r="T154" s="80"/>
      <c r="U154" s="80"/>
      <c r="W154" s="80"/>
      <c r="X154" s="80"/>
      <c r="Y154" s="80"/>
    </row>
    <row r="155" spans="2:25" ht="12.75">
      <c r="B155" s="80"/>
      <c r="C155" s="80"/>
      <c r="D155" s="80"/>
      <c r="F155" s="80"/>
      <c r="G155" s="80"/>
      <c r="H155" s="80"/>
      <c r="K155" s="80"/>
      <c r="L155" s="80"/>
      <c r="M155" s="80"/>
      <c r="O155" s="80"/>
      <c r="P155" s="80"/>
      <c r="Q155" s="80"/>
      <c r="S155" s="80"/>
      <c r="T155" s="80"/>
      <c r="U155" s="80"/>
      <c r="W155" s="80"/>
      <c r="X155" s="80"/>
      <c r="Y155" s="80"/>
    </row>
  </sheetData>
  <sheetProtection password="BDDB" sheet="1" objects="1" scenarios="1" selectLockedCells="1"/>
  <mergeCells count="15">
    <mergeCell ref="AA11:AC11"/>
    <mergeCell ref="AA60:AC60"/>
    <mergeCell ref="S60:U60"/>
    <mergeCell ref="O60:Q60"/>
    <mergeCell ref="K60:M60"/>
    <mergeCell ref="C2:AD2"/>
    <mergeCell ref="F11:H11"/>
    <mergeCell ref="F60:H60"/>
    <mergeCell ref="W60:Y60"/>
    <mergeCell ref="C69:W69"/>
    <mergeCell ref="C70:W81"/>
    <mergeCell ref="K11:M11"/>
    <mergeCell ref="O11:Q11"/>
    <mergeCell ref="S11:U11"/>
    <mergeCell ref="W11:Y11"/>
  </mergeCells>
  <printOptions/>
  <pageMargins left="0.7" right="0.7" top="0.75" bottom="0.75" header="0.3" footer="0.3"/>
  <pageSetup fitToHeight="1" fitToWidth="1" horizontalDpi="600" verticalDpi="600" orientation="landscape" scale="41"/>
</worksheet>
</file>

<file path=xl/worksheets/sheet4.xml><?xml version="1.0" encoding="utf-8"?>
<worksheet xmlns="http://schemas.openxmlformats.org/spreadsheetml/2006/main" xmlns:r="http://schemas.openxmlformats.org/officeDocument/2006/relationships">
  <sheetPr>
    <tabColor theme="3"/>
  </sheetPr>
  <dimension ref="B2:AH183"/>
  <sheetViews>
    <sheetView zoomScalePageLayoutView="0" workbookViewId="0" topLeftCell="A121">
      <selection activeCell="L148" sqref="L148"/>
    </sheetView>
  </sheetViews>
  <sheetFormatPr defaultColWidth="11.421875" defaultRowHeight="15"/>
  <cols>
    <col min="1" max="2" width="3.00390625" style="9" customWidth="1"/>
    <col min="3" max="3" width="3.7109375" style="7" customWidth="1"/>
    <col min="4" max="4" width="25.7109375" style="8" customWidth="1"/>
    <col min="5" max="5" width="41.28125" style="9" customWidth="1"/>
    <col min="6" max="10" width="14.28125" style="9" customWidth="1"/>
    <col min="11" max="11" width="14.28125" style="206" customWidth="1"/>
    <col min="12" max="12" width="74.7109375" style="207" customWidth="1"/>
    <col min="13" max="13" width="3.00390625" style="207" customWidth="1"/>
    <col min="14" max="14" width="3.00390625" style="9" customWidth="1"/>
    <col min="15" max="15" width="32.8515625" style="208" bestFit="1" customWidth="1"/>
    <col min="16" max="16384" width="11.421875" style="9" customWidth="1"/>
  </cols>
  <sheetData>
    <row r="1" ht="15" customHeight="1" thickBot="1"/>
    <row r="2" spans="2:14" ht="17.25" customHeight="1">
      <c r="B2" s="209"/>
      <c r="C2" s="13"/>
      <c r="D2" s="498" t="s">
        <v>497</v>
      </c>
      <c r="E2" s="536"/>
      <c r="F2" s="536"/>
      <c r="G2" s="536"/>
      <c r="H2" s="536"/>
      <c r="I2" s="536"/>
      <c r="J2" s="536"/>
      <c r="K2" s="536"/>
      <c r="L2" s="536"/>
      <c r="M2" s="210"/>
      <c r="N2" s="211"/>
    </row>
    <row r="3" spans="2:14" ht="15" customHeight="1">
      <c r="B3" s="212"/>
      <c r="C3" s="14"/>
      <c r="D3" s="3"/>
      <c r="E3" s="4"/>
      <c r="F3" s="333"/>
      <c r="G3" s="2"/>
      <c r="H3" s="2"/>
      <c r="I3" s="2"/>
      <c r="J3" s="2"/>
      <c r="K3" s="213"/>
      <c r="L3" s="214"/>
      <c r="M3" s="214"/>
      <c r="N3" s="215"/>
    </row>
    <row r="4" spans="2:16" s="216" customFormat="1" ht="15" customHeight="1">
      <c r="B4" s="212"/>
      <c r="C4" s="14"/>
      <c r="D4" s="88" t="s">
        <v>61</v>
      </c>
      <c r="E4" s="288" t="str">
        <f>IF(ISBLANK('1. Instructions'!E6),"Please enter School Name on Tab 1.",'1. Instructions'!E6)</f>
        <v>Steel City Academy</v>
      </c>
      <c r="F4" s="333"/>
      <c r="G4" s="2"/>
      <c r="H4" s="24"/>
      <c r="I4" s="2"/>
      <c r="J4" s="2"/>
      <c r="K4" s="2"/>
      <c r="L4" s="2"/>
      <c r="M4" s="2"/>
      <c r="N4" s="215"/>
      <c r="P4" s="9"/>
    </row>
    <row r="5" spans="2:16" s="216" customFormat="1" ht="15" customHeight="1">
      <c r="B5" s="212"/>
      <c r="C5" s="14"/>
      <c r="D5" s="88" t="s">
        <v>423</v>
      </c>
      <c r="E5" s="288" t="str">
        <f>IF(ISBLANK('1. Instructions'!E8),"Please enter Renewal Year on Tab 1.",'1. Instructions'!E8)</f>
        <v>2021 - 22 SY</v>
      </c>
      <c r="F5" s="333"/>
      <c r="G5" s="2"/>
      <c r="H5" s="24"/>
      <c r="I5" s="2"/>
      <c r="J5" s="2"/>
      <c r="K5" s="2"/>
      <c r="L5" s="2"/>
      <c r="M5" s="2"/>
      <c r="N5" s="215"/>
      <c r="P5" s="9"/>
    </row>
    <row r="6" spans="2:14" ht="15" customHeight="1">
      <c r="B6" s="212"/>
      <c r="C6" s="14"/>
      <c r="D6" s="17"/>
      <c r="E6" s="2"/>
      <c r="F6" s="333"/>
      <c r="G6" s="2"/>
      <c r="H6" s="2"/>
      <c r="I6" s="2"/>
      <c r="J6" s="2"/>
      <c r="K6" s="101"/>
      <c r="L6" s="101"/>
      <c r="M6" s="101"/>
      <c r="N6" s="215"/>
    </row>
    <row r="7" spans="2:15" s="265" customFormat="1" ht="15" customHeight="1">
      <c r="B7" s="401"/>
      <c r="C7" s="402"/>
      <c r="D7" s="403" t="s">
        <v>94</v>
      </c>
      <c r="E7" s="404"/>
      <c r="F7" s="404"/>
      <c r="G7" s="404"/>
      <c r="H7" s="404"/>
      <c r="I7" s="404"/>
      <c r="J7" s="404"/>
      <c r="K7" s="405"/>
      <c r="L7" s="406"/>
      <c r="M7" s="407"/>
      <c r="N7" s="408"/>
      <c r="O7" s="409"/>
    </row>
    <row r="8" spans="2:15" s="265" customFormat="1" ht="40.5" customHeight="1">
      <c r="B8" s="401"/>
      <c r="C8" s="402"/>
      <c r="D8" s="543" t="s">
        <v>496</v>
      </c>
      <c r="E8" s="544"/>
      <c r="F8" s="544"/>
      <c r="G8" s="544"/>
      <c r="H8" s="544"/>
      <c r="I8" s="544"/>
      <c r="J8" s="544"/>
      <c r="K8" s="544"/>
      <c r="L8" s="545"/>
      <c r="M8" s="407"/>
      <c r="N8" s="408"/>
      <c r="O8" s="409"/>
    </row>
    <row r="9" spans="2:14" ht="15" customHeight="1">
      <c r="B9" s="212"/>
      <c r="C9" s="14"/>
      <c r="D9" s="17"/>
      <c r="E9" s="2"/>
      <c r="F9" s="14"/>
      <c r="G9" s="14"/>
      <c r="H9" s="14"/>
      <c r="I9" s="14"/>
      <c r="J9" s="14"/>
      <c r="K9" s="101"/>
      <c r="L9" s="90"/>
      <c r="M9" s="90"/>
      <c r="N9" s="215"/>
    </row>
    <row r="10" spans="2:14" ht="15" customHeight="1">
      <c r="B10" s="212"/>
      <c r="C10" s="18"/>
      <c r="D10" s="27"/>
      <c r="E10" s="6"/>
      <c r="F10" s="28"/>
      <c r="G10" s="28"/>
      <c r="H10" s="28"/>
      <c r="I10" s="28"/>
      <c r="J10" s="28"/>
      <c r="K10" s="219"/>
      <c r="L10" s="217"/>
      <c r="M10" s="218"/>
      <c r="N10" s="215"/>
    </row>
    <row r="11" spans="2:14" ht="15" customHeight="1">
      <c r="B11" s="212"/>
      <c r="C11" s="15"/>
      <c r="D11" s="537" t="s">
        <v>564</v>
      </c>
      <c r="E11" s="538"/>
      <c r="F11" s="540" t="s">
        <v>494</v>
      </c>
      <c r="G11" s="540" t="s">
        <v>487</v>
      </c>
      <c r="H11" s="540" t="s">
        <v>488</v>
      </c>
      <c r="I11" s="540" t="s">
        <v>489</v>
      </c>
      <c r="J11" s="540" t="s">
        <v>490</v>
      </c>
      <c r="K11" s="542" t="s">
        <v>491</v>
      </c>
      <c r="L11" s="542" t="s">
        <v>57</v>
      </c>
      <c r="M11" s="220"/>
      <c r="N11" s="215"/>
    </row>
    <row r="12" spans="2:14" ht="15" customHeight="1">
      <c r="B12" s="212"/>
      <c r="C12" s="19"/>
      <c r="D12" s="539"/>
      <c r="E12" s="539"/>
      <c r="F12" s="541"/>
      <c r="G12" s="541"/>
      <c r="H12" s="541"/>
      <c r="I12" s="541"/>
      <c r="J12" s="541"/>
      <c r="K12" s="541"/>
      <c r="L12" s="539"/>
      <c r="M12" s="221"/>
      <c r="N12" s="215"/>
    </row>
    <row r="13" spans="2:15" s="226" customFormat="1" ht="15" customHeight="1">
      <c r="B13" s="212"/>
      <c r="C13" s="19"/>
      <c r="D13" s="501" t="s">
        <v>565</v>
      </c>
      <c r="E13" s="502"/>
      <c r="F13" s="222"/>
      <c r="G13" s="222"/>
      <c r="H13" s="222"/>
      <c r="I13" s="222"/>
      <c r="J13" s="222"/>
      <c r="K13" s="223"/>
      <c r="L13" s="236"/>
      <c r="M13" s="224"/>
      <c r="N13" s="215"/>
      <c r="O13" s="225"/>
    </row>
    <row r="14" spans="2:14" ht="15" customHeight="1">
      <c r="B14" s="212"/>
      <c r="C14" s="411">
        <v>1</v>
      </c>
      <c r="D14" s="503" t="s">
        <v>499</v>
      </c>
      <c r="E14" s="504"/>
      <c r="F14" s="227">
        <f>'2. Enrollment Projections'!E45</f>
        <v>3257155.275</v>
      </c>
      <c r="G14" s="227">
        <f>'2. Enrollment Projections'!F46</f>
        <v>3590273.4281249996</v>
      </c>
      <c r="H14" s="227">
        <f>'2. Enrollment Projections'!G46</f>
        <v>3930404.5949999997</v>
      </c>
      <c r="I14" s="227">
        <f>'2. Enrollment Projections'!H46</f>
        <v>4270535.761875</v>
      </c>
      <c r="J14" s="227">
        <f>'2. Enrollment Projections'!I46</f>
        <v>4937161.68</v>
      </c>
      <c r="K14" s="227">
        <f>'2. Enrollment Projections'!J46</f>
        <v>5438592.163125</v>
      </c>
      <c r="L14" s="410" t="s">
        <v>498</v>
      </c>
      <c r="M14" s="224"/>
      <c r="N14" s="228"/>
    </row>
    <row r="15" spans="2:14" ht="15" customHeight="1">
      <c r="B15" s="212"/>
      <c r="C15" s="411">
        <v>2</v>
      </c>
      <c r="D15" s="505" t="s">
        <v>504</v>
      </c>
      <c r="E15" s="506"/>
      <c r="F15" s="37">
        <v>0</v>
      </c>
      <c r="G15" s="37">
        <v>0</v>
      </c>
      <c r="H15" s="37">
        <v>0</v>
      </c>
      <c r="I15" s="37">
        <v>0</v>
      </c>
      <c r="J15" s="37">
        <v>0</v>
      </c>
      <c r="K15" s="37">
        <v>0</v>
      </c>
      <c r="L15" s="413"/>
      <c r="M15" s="224"/>
      <c r="N15" s="228"/>
    </row>
    <row r="16" spans="2:15" ht="15" customHeight="1">
      <c r="B16" s="212"/>
      <c r="C16" s="411">
        <v>3</v>
      </c>
      <c r="D16" s="505" t="s">
        <v>18</v>
      </c>
      <c r="E16" s="506"/>
      <c r="F16" s="37">
        <v>0</v>
      </c>
      <c r="G16" s="37">
        <v>0</v>
      </c>
      <c r="H16" s="37">
        <v>0</v>
      </c>
      <c r="I16" s="37">
        <v>0</v>
      </c>
      <c r="J16" s="37">
        <v>0</v>
      </c>
      <c r="K16" s="37">
        <v>0</v>
      </c>
      <c r="L16" s="417"/>
      <c r="M16" s="231"/>
      <c r="N16" s="228"/>
      <c r="O16" s="9"/>
    </row>
    <row r="17" spans="2:14" ht="15" customHeight="1">
      <c r="B17" s="212"/>
      <c r="C17" s="411">
        <v>4</v>
      </c>
      <c r="D17" s="505" t="s">
        <v>502</v>
      </c>
      <c r="E17" s="506"/>
      <c r="F17" s="37">
        <v>0</v>
      </c>
      <c r="G17" s="37">
        <f>2000*0.05*60</f>
        <v>6000</v>
      </c>
      <c r="H17" s="37">
        <f>2000*0.05*60</f>
        <v>6000</v>
      </c>
      <c r="I17" s="37">
        <f>2000*0.05*55</f>
        <v>5500</v>
      </c>
      <c r="J17" s="37">
        <f>2000*0.05*50</f>
        <v>5000</v>
      </c>
      <c r="K17" s="37">
        <f>2000*0.05*50</f>
        <v>5000</v>
      </c>
      <c r="L17" s="413" t="s">
        <v>592</v>
      </c>
      <c r="M17" s="224"/>
      <c r="N17" s="228"/>
    </row>
    <row r="18" spans="2:14" ht="15" customHeight="1">
      <c r="B18" s="212"/>
      <c r="C18" s="411">
        <v>5</v>
      </c>
      <c r="D18" s="505" t="s">
        <v>418</v>
      </c>
      <c r="E18" s="506"/>
      <c r="F18" s="37">
        <f>500*420</f>
        <v>210000</v>
      </c>
      <c r="G18" s="37">
        <v>242500</v>
      </c>
      <c r="H18" s="37">
        <v>260000</v>
      </c>
      <c r="I18" s="37">
        <v>282500</v>
      </c>
      <c r="J18" s="37">
        <v>320000</v>
      </c>
      <c r="K18" s="37">
        <v>352500</v>
      </c>
      <c r="L18" s="416" t="s">
        <v>461</v>
      </c>
      <c r="M18" s="230"/>
      <c r="N18" s="228"/>
    </row>
    <row r="19" spans="2:21" ht="15" customHeight="1">
      <c r="B19" s="212"/>
      <c r="C19" s="411">
        <v>6</v>
      </c>
      <c r="D19" s="505" t="s">
        <v>17</v>
      </c>
      <c r="E19" s="506"/>
      <c r="F19" s="37">
        <v>4391</v>
      </c>
      <c r="G19" s="37">
        <v>4463.95</v>
      </c>
      <c r="H19" s="37">
        <v>4892</v>
      </c>
      <c r="I19" s="37">
        <v>5625.8</v>
      </c>
      <c r="J19" s="37">
        <v>6543.05</v>
      </c>
      <c r="K19" s="37">
        <v>7399.15</v>
      </c>
      <c r="L19" s="413" t="s">
        <v>463</v>
      </c>
      <c r="M19" s="224"/>
      <c r="N19" s="228"/>
      <c r="O19" s="226"/>
      <c r="P19" s="226"/>
      <c r="Q19" s="226"/>
      <c r="R19" s="226"/>
      <c r="S19" s="226"/>
      <c r="T19" s="226"/>
      <c r="U19" s="226"/>
    </row>
    <row r="20" spans="2:14" ht="15" customHeight="1">
      <c r="B20" s="212"/>
      <c r="C20" s="411">
        <v>7</v>
      </c>
      <c r="D20" s="505" t="s">
        <v>13</v>
      </c>
      <c r="E20" s="506"/>
      <c r="F20" s="37">
        <v>0</v>
      </c>
      <c r="G20" s="37">
        <v>0</v>
      </c>
      <c r="H20" s="37">
        <v>0</v>
      </c>
      <c r="I20" s="37">
        <v>0</v>
      </c>
      <c r="J20" s="37">
        <v>0</v>
      </c>
      <c r="K20" s="37">
        <v>0</v>
      </c>
      <c r="L20" s="413"/>
      <c r="M20" s="224"/>
      <c r="N20" s="228"/>
    </row>
    <row r="21" spans="2:14" ht="15" customHeight="1">
      <c r="B21" s="212"/>
      <c r="C21" s="411">
        <v>8</v>
      </c>
      <c r="D21" s="503" t="s">
        <v>500</v>
      </c>
      <c r="E21" s="504"/>
      <c r="F21" s="37">
        <v>19510</v>
      </c>
      <c r="G21" s="37">
        <v>16000</v>
      </c>
      <c r="H21" s="37">
        <v>16000</v>
      </c>
      <c r="I21" s="37">
        <v>16000</v>
      </c>
      <c r="J21" s="37">
        <v>16000</v>
      </c>
      <c r="K21" s="37">
        <v>16000</v>
      </c>
      <c r="L21" s="413" t="s">
        <v>459</v>
      </c>
      <c r="M21" s="224"/>
      <c r="N21" s="228"/>
    </row>
    <row r="22" spans="2:14" ht="15" customHeight="1">
      <c r="B22" s="212"/>
      <c r="C22" s="411">
        <v>9</v>
      </c>
      <c r="D22" s="505" t="s">
        <v>14</v>
      </c>
      <c r="E22" s="506"/>
      <c r="F22" s="37">
        <v>28687</v>
      </c>
      <c r="G22" s="37">
        <v>24036.6</v>
      </c>
      <c r="H22" s="37">
        <v>25771.2</v>
      </c>
      <c r="I22" s="37">
        <v>28001.4</v>
      </c>
      <c r="J22" s="37">
        <v>31718.4</v>
      </c>
      <c r="K22" s="37">
        <v>34939.8</v>
      </c>
      <c r="L22" s="413" t="s">
        <v>462</v>
      </c>
      <c r="M22" s="229"/>
      <c r="N22" s="228"/>
    </row>
    <row r="23" spans="2:14" ht="15" customHeight="1">
      <c r="B23" s="212"/>
      <c r="C23" s="411">
        <v>10</v>
      </c>
      <c r="D23" s="505" t="s">
        <v>15</v>
      </c>
      <c r="E23" s="509"/>
      <c r="F23" s="37">
        <v>0</v>
      </c>
      <c r="G23" s="37">
        <v>0</v>
      </c>
      <c r="H23" s="37">
        <v>0</v>
      </c>
      <c r="I23" s="37">
        <v>0</v>
      </c>
      <c r="J23" s="37">
        <v>0</v>
      </c>
      <c r="K23" s="37">
        <v>0</v>
      </c>
      <c r="L23" s="413"/>
      <c r="M23" s="229"/>
      <c r="N23" s="228"/>
    </row>
    <row r="24" spans="2:21" ht="15" customHeight="1">
      <c r="B24" s="212"/>
      <c r="C24" s="412">
        <v>11</v>
      </c>
      <c r="D24" s="510" t="s">
        <v>501</v>
      </c>
      <c r="E24" s="511"/>
      <c r="F24" s="37">
        <v>0</v>
      </c>
      <c r="G24" s="37">
        <v>0</v>
      </c>
      <c r="H24" s="37">
        <v>0</v>
      </c>
      <c r="I24" s="37">
        <v>0</v>
      </c>
      <c r="J24" s="37">
        <v>0</v>
      </c>
      <c r="K24" s="37">
        <v>0</v>
      </c>
      <c r="L24" s="413"/>
      <c r="M24" s="224"/>
      <c r="N24" s="228"/>
      <c r="O24" s="226"/>
      <c r="P24" s="226"/>
      <c r="Q24" s="226"/>
      <c r="R24" s="226"/>
      <c r="S24" s="226"/>
      <c r="T24" s="226"/>
      <c r="U24" s="226"/>
    </row>
    <row r="25" spans="2:15" ht="15" customHeight="1">
      <c r="B25" s="212"/>
      <c r="C25" s="411">
        <v>12</v>
      </c>
      <c r="D25" s="505" t="s">
        <v>503</v>
      </c>
      <c r="E25" s="506"/>
      <c r="F25" s="37">
        <v>0</v>
      </c>
      <c r="G25" s="37">
        <v>15000</v>
      </c>
      <c r="H25" s="37">
        <v>15000</v>
      </c>
      <c r="I25" s="37">
        <v>15000</v>
      </c>
      <c r="J25" s="37">
        <v>15000</v>
      </c>
      <c r="K25" s="37">
        <v>15000</v>
      </c>
      <c r="L25" s="413" t="s">
        <v>591</v>
      </c>
      <c r="M25" s="224"/>
      <c r="N25" s="228"/>
      <c r="O25" s="9"/>
    </row>
    <row r="26" spans="2:15" ht="15" customHeight="1">
      <c r="B26" s="212"/>
      <c r="C26" s="411">
        <v>13</v>
      </c>
      <c r="D26" s="505" t="s">
        <v>505</v>
      </c>
      <c r="E26" s="506"/>
      <c r="F26" s="37">
        <v>37000</v>
      </c>
      <c r="G26" s="37">
        <v>36000</v>
      </c>
      <c r="H26" s="37">
        <v>36000</v>
      </c>
      <c r="I26" s="37">
        <f>41500-5500</f>
        <v>36000</v>
      </c>
      <c r="J26" s="37">
        <v>36000</v>
      </c>
      <c r="K26" s="37">
        <v>36000</v>
      </c>
      <c r="L26" s="413" t="s">
        <v>590</v>
      </c>
      <c r="M26" s="224"/>
      <c r="N26" s="228"/>
      <c r="O26" s="9"/>
    </row>
    <row r="27" spans="2:15" ht="15" customHeight="1">
      <c r="B27" s="212"/>
      <c r="C27" s="19"/>
      <c r="D27" s="512"/>
      <c r="E27" s="513"/>
      <c r="F27" s="335"/>
      <c r="G27" s="233"/>
      <c r="H27" s="233"/>
      <c r="I27" s="233"/>
      <c r="J27" s="233"/>
      <c r="K27" s="223"/>
      <c r="L27" s="236" t="s">
        <v>2</v>
      </c>
      <c r="M27" s="224"/>
      <c r="N27" s="232"/>
      <c r="O27" s="9"/>
    </row>
    <row r="28" spans="2:15" ht="15" customHeight="1">
      <c r="B28" s="212"/>
      <c r="C28" s="19"/>
      <c r="D28" s="514" t="s">
        <v>566</v>
      </c>
      <c r="E28" s="515"/>
      <c r="F28" s="234">
        <f aca="true" t="shared" si="0" ref="F28:K28">SUM(F14:F26)</f>
        <v>3556743.275</v>
      </c>
      <c r="G28" s="234">
        <f t="shared" si="0"/>
        <v>3934273.978125</v>
      </c>
      <c r="H28" s="234">
        <f t="shared" si="0"/>
        <v>4294067.795</v>
      </c>
      <c r="I28" s="234">
        <f t="shared" si="0"/>
        <v>4659162.961875</v>
      </c>
      <c r="J28" s="234">
        <f t="shared" si="0"/>
        <v>5367423.13</v>
      </c>
      <c r="K28" s="289">
        <f t="shared" si="0"/>
        <v>5905431.113125</v>
      </c>
      <c r="L28" s="290"/>
      <c r="M28" s="224"/>
      <c r="N28" s="232"/>
      <c r="O28" s="9"/>
    </row>
    <row r="29" spans="2:15" ht="15" customHeight="1">
      <c r="B29" s="212"/>
      <c r="C29" s="19"/>
      <c r="D29" s="516"/>
      <c r="E29" s="517"/>
      <c r="F29" s="334"/>
      <c r="G29" s="6"/>
      <c r="H29" s="6"/>
      <c r="I29" s="6"/>
      <c r="J29" s="6"/>
      <c r="K29" s="235"/>
      <c r="L29" s="224"/>
      <c r="M29" s="224"/>
      <c r="N29" s="232"/>
      <c r="O29" s="9"/>
    </row>
    <row r="30" spans="2:15" ht="15" customHeight="1">
      <c r="B30" s="212"/>
      <c r="C30" s="19"/>
      <c r="D30" s="518" t="s">
        <v>567</v>
      </c>
      <c r="E30" s="519"/>
      <c r="F30" s="238"/>
      <c r="G30" s="507"/>
      <c r="H30" s="508"/>
      <c r="I30" s="508"/>
      <c r="J30" s="508"/>
      <c r="K30" s="508"/>
      <c r="L30" s="237"/>
      <c r="M30" s="224"/>
      <c r="N30" s="232"/>
      <c r="O30" s="9"/>
    </row>
    <row r="31" spans="2:15" ht="15" customHeight="1">
      <c r="B31" s="212"/>
      <c r="C31" s="411">
        <v>14</v>
      </c>
      <c r="D31" s="505" t="s">
        <v>506</v>
      </c>
      <c r="E31" s="506"/>
      <c r="F31" s="37">
        <v>0</v>
      </c>
      <c r="G31" s="37">
        <v>0</v>
      </c>
      <c r="H31" s="37">
        <v>0</v>
      </c>
      <c r="I31" s="37">
        <v>0</v>
      </c>
      <c r="J31" s="37">
        <v>0</v>
      </c>
      <c r="K31" s="37">
        <v>0</v>
      </c>
      <c r="L31" s="416"/>
      <c r="M31" s="230"/>
      <c r="N31" s="232"/>
      <c r="O31" s="9"/>
    </row>
    <row r="32" spans="2:15" ht="15" customHeight="1">
      <c r="B32" s="212"/>
      <c r="C32" s="411">
        <v>15</v>
      </c>
      <c r="D32" s="505" t="s">
        <v>508</v>
      </c>
      <c r="E32" s="506"/>
      <c r="F32" s="37">
        <v>0</v>
      </c>
      <c r="G32" s="37">
        <v>0</v>
      </c>
      <c r="H32" s="37">
        <v>0</v>
      </c>
      <c r="I32" s="37">
        <v>0</v>
      </c>
      <c r="J32" s="37">
        <v>0</v>
      </c>
      <c r="K32" s="37">
        <v>0</v>
      </c>
      <c r="L32" s="413"/>
      <c r="M32" s="224"/>
      <c r="N32" s="228"/>
      <c r="O32" s="9"/>
    </row>
    <row r="33" spans="2:15" ht="15" customHeight="1">
      <c r="B33" s="212"/>
      <c r="C33" s="411">
        <v>16</v>
      </c>
      <c r="D33" s="505" t="s">
        <v>19</v>
      </c>
      <c r="E33" s="506"/>
      <c r="F33" s="37">
        <v>90119</v>
      </c>
      <c r="G33" s="37">
        <v>94610.36</v>
      </c>
      <c r="H33" s="37">
        <v>101437.92</v>
      </c>
      <c r="I33" s="37">
        <v>110216.2</v>
      </c>
      <c r="J33" s="37">
        <v>124846.67</v>
      </c>
      <c r="K33" s="37">
        <v>137526.41</v>
      </c>
      <c r="L33" s="413" t="s">
        <v>464</v>
      </c>
      <c r="M33" s="224"/>
      <c r="N33" s="232"/>
      <c r="O33" s="9"/>
    </row>
    <row r="34" spans="2:15" ht="15" customHeight="1">
      <c r="B34" s="212"/>
      <c r="C34" s="411">
        <v>17</v>
      </c>
      <c r="D34" s="505" t="s">
        <v>0</v>
      </c>
      <c r="E34" s="506"/>
      <c r="F34" s="37">
        <v>468977</v>
      </c>
      <c r="G34" s="37">
        <v>430000</v>
      </c>
      <c r="H34" s="37">
        <v>430000</v>
      </c>
      <c r="I34" s="37">
        <v>430000</v>
      </c>
      <c r="J34" s="37">
        <v>430000</v>
      </c>
      <c r="K34" s="37">
        <v>430000</v>
      </c>
      <c r="L34" s="413" t="s">
        <v>465</v>
      </c>
      <c r="M34" s="224"/>
      <c r="N34" s="232"/>
      <c r="O34" s="9"/>
    </row>
    <row r="35" spans="2:15" ht="15" customHeight="1">
      <c r="B35" s="212"/>
      <c r="C35" s="411">
        <v>18</v>
      </c>
      <c r="D35" s="505" t="s">
        <v>1</v>
      </c>
      <c r="E35" s="506"/>
      <c r="F35" s="37">
        <v>62719</v>
      </c>
      <c r="G35" s="37">
        <v>36374</v>
      </c>
      <c r="H35" s="37">
        <v>36374</v>
      </c>
      <c r="I35" s="37">
        <v>36374</v>
      </c>
      <c r="J35" s="37">
        <v>36374</v>
      </c>
      <c r="K35" s="37">
        <v>36374</v>
      </c>
      <c r="L35" s="413" t="s">
        <v>465</v>
      </c>
      <c r="M35" s="224"/>
      <c r="N35" s="232"/>
      <c r="O35" s="9"/>
    </row>
    <row r="36" spans="2:15" ht="15" customHeight="1">
      <c r="B36" s="212"/>
      <c r="C36" s="411">
        <v>19</v>
      </c>
      <c r="D36" s="505" t="s">
        <v>11</v>
      </c>
      <c r="E36" s="506"/>
      <c r="F36" s="37">
        <v>316483.2</v>
      </c>
      <c r="G36" s="37">
        <v>315832</v>
      </c>
      <c r="H36" s="37">
        <v>338624</v>
      </c>
      <c r="I36" s="37">
        <v>367928</v>
      </c>
      <c r="J36" s="37">
        <v>416768</v>
      </c>
      <c r="K36" s="37">
        <v>459096</v>
      </c>
      <c r="L36" s="413" t="s">
        <v>466</v>
      </c>
      <c r="M36" s="224"/>
      <c r="N36" s="232"/>
      <c r="O36" s="9"/>
    </row>
    <row r="37" spans="2:15" ht="15" customHeight="1">
      <c r="B37" s="212"/>
      <c r="C37" s="411">
        <v>20</v>
      </c>
      <c r="D37" s="505" t="s">
        <v>12</v>
      </c>
      <c r="E37" s="506"/>
      <c r="F37" s="37">
        <v>0</v>
      </c>
      <c r="G37" s="37">
        <v>0</v>
      </c>
      <c r="H37" s="37">
        <v>0</v>
      </c>
      <c r="I37" s="37">
        <v>0</v>
      </c>
      <c r="J37" s="37">
        <v>0</v>
      </c>
      <c r="K37" s="37">
        <v>0</v>
      </c>
      <c r="L37" s="413"/>
      <c r="M37" s="224"/>
      <c r="N37" s="232"/>
      <c r="O37" s="9"/>
    </row>
    <row r="38" spans="2:14" ht="15" customHeight="1">
      <c r="B38" s="212"/>
      <c r="C38" s="411">
        <v>21</v>
      </c>
      <c r="D38" s="505" t="s">
        <v>507</v>
      </c>
      <c r="E38" s="506"/>
      <c r="F38" s="37">
        <f>40727+300000+50000+103000</f>
        <v>493727</v>
      </c>
      <c r="G38" s="37">
        <v>43307</v>
      </c>
      <c r="H38" s="37">
        <v>43307</v>
      </c>
      <c r="I38" s="37">
        <v>43307</v>
      </c>
      <c r="J38" s="37">
        <v>43307</v>
      </c>
      <c r="K38" s="37">
        <v>43307</v>
      </c>
      <c r="L38" s="413" t="s">
        <v>589</v>
      </c>
      <c r="M38" s="224"/>
      <c r="N38" s="232"/>
    </row>
    <row r="39" spans="2:14" ht="15" customHeight="1">
      <c r="B39" s="212"/>
      <c r="C39" s="19"/>
      <c r="D39" s="512"/>
      <c r="E39" s="513"/>
      <c r="F39" s="335"/>
      <c r="G39" s="233"/>
      <c r="H39" s="233"/>
      <c r="I39" s="233"/>
      <c r="J39" s="233"/>
      <c r="K39" s="223"/>
      <c r="L39" s="236"/>
      <c r="M39" s="224"/>
      <c r="N39" s="232"/>
    </row>
    <row r="40" spans="2:14" ht="15" customHeight="1">
      <c r="B40" s="212"/>
      <c r="C40" s="19"/>
      <c r="D40" s="514" t="s">
        <v>568</v>
      </c>
      <c r="E40" s="522"/>
      <c r="F40" s="234">
        <f aca="true" t="shared" si="1" ref="F40:K40">SUM(F31:F38)</f>
        <v>1432025.2</v>
      </c>
      <c r="G40" s="234">
        <f t="shared" si="1"/>
        <v>920123.36</v>
      </c>
      <c r="H40" s="234">
        <f t="shared" si="1"/>
        <v>949742.92</v>
      </c>
      <c r="I40" s="234">
        <f t="shared" si="1"/>
        <v>987825.2</v>
      </c>
      <c r="J40" s="234">
        <f t="shared" si="1"/>
        <v>1051295.67</v>
      </c>
      <c r="K40" s="234">
        <f t="shared" si="1"/>
        <v>1106303.4100000001</v>
      </c>
      <c r="L40" s="290"/>
      <c r="M40" s="224"/>
      <c r="N40" s="232"/>
    </row>
    <row r="41" spans="2:14" ht="15" customHeight="1">
      <c r="B41" s="212"/>
      <c r="C41" s="19"/>
      <c r="D41" s="516"/>
      <c r="E41" s="517"/>
      <c r="F41" s="334"/>
      <c r="G41" s="6"/>
      <c r="H41" s="6"/>
      <c r="I41" s="6"/>
      <c r="J41" s="6"/>
      <c r="K41" s="235"/>
      <c r="L41" s="224"/>
      <c r="M41" s="224"/>
      <c r="N41" s="232"/>
    </row>
    <row r="42" spans="2:14" ht="15" customHeight="1">
      <c r="B42" s="212"/>
      <c r="C42" s="19"/>
      <c r="D42" s="518" t="s">
        <v>7</v>
      </c>
      <c r="E42" s="519"/>
      <c r="F42" s="238"/>
      <c r="G42" s="238"/>
      <c r="H42" s="238"/>
      <c r="I42" s="238"/>
      <c r="J42" s="238"/>
      <c r="K42" s="239"/>
      <c r="L42" s="237"/>
      <c r="M42" s="224"/>
      <c r="N42" s="232"/>
    </row>
    <row r="43" spans="2:14" ht="15" customHeight="1">
      <c r="B43" s="212"/>
      <c r="C43" s="411">
        <v>22</v>
      </c>
      <c r="D43" s="505" t="s">
        <v>20</v>
      </c>
      <c r="E43" s="506"/>
      <c r="F43" s="37">
        <v>0</v>
      </c>
      <c r="G43" s="37">
        <v>0</v>
      </c>
      <c r="H43" s="37">
        <v>0</v>
      </c>
      <c r="I43" s="37">
        <v>0</v>
      </c>
      <c r="J43" s="37">
        <v>0</v>
      </c>
      <c r="K43" s="37">
        <v>0</v>
      </c>
      <c r="L43" s="413" t="s">
        <v>593</v>
      </c>
      <c r="M43" s="224"/>
      <c r="N43" s="232"/>
    </row>
    <row r="44" spans="2:14" ht="15" customHeight="1">
      <c r="B44" s="212"/>
      <c r="C44" s="411">
        <v>23</v>
      </c>
      <c r="D44" s="505" t="s">
        <v>509</v>
      </c>
      <c r="E44" s="506"/>
      <c r="F44" s="37">
        <v>0</v>
      </c>
      <c r="G44" s="37">
        <v>0</v>
      </c>
      <c r="H44" s="37">
        <v>0</v>
      </c>
      <c r="I44" s="37">
        <v>0</v>
      </c>
      <c r="J44" s="37">
        <v>0</v>
      </c>
      <c r="K44" s="37">
        <v>0</v>
      </c>
      <c r="L44" s="413" t="s">
        <v>594</v>
      </c>
      <c r="M44" s="224"/>
      <c r="N44" s="232"/>
    </row>
    <row r="45" spans="2:14" ht="15" customHeight="1">
      <c r="B45" s="212"/>
      <c r="C45" s="411">
        <v>24</v>
      </c>
      <c r="D45" s="505" t="s">
        <v>21</v>
      </c>
      <c r="E45" s="506"/>
      <c r="F45" s="37">
        <v>0</v>
      </c>
      <c r="G45" s="37">
        <v>0</v>
      </c>
      <c r="H45" s="37">
        <v>0</v>
      </c>
      <c r="I45" s="37">
        <v>0</v>
      </c>
      <c r="J45" s="37">
        <v>0</v>
      </c>
      <c r="K45" s="37">
        <v>0</v>
      </c>
      <c r="L45" s="413"/>
      <c r="M45" s="224"/>
      <c r="N45" s="232"/>
    </row>
    <row r="46" spans="2:14" ht="15" customHeight="1">
      <c r="B46" s="212"/>
      <c r="C46" s="411">
        <v>25</v>
      </c>
      <c r="D46" s="505" t="s">
        <v>16</v>
      </c>
      <c r="E46" s="506"/>
      <c r="F46" s="37">
        <v>0</v>
      </c>
      <c r="G46" s="37">
        <v>0</v>
      </c>
      <c r="H46" s="37">
        <v>0</v>
      </c>
      <c r="I46" s="37">
        <v>0</v>
      </c>
      <c r="J46" s="37">
        <v>0</v>
      </c>
      <c r="K46" s="37">
        <v>0</v>
      </c>
      <c r="L46" s="413"/>
      <c r="M46" s="224"/>
      <c r="N46" s="240"/>
    </row>
    <row r="47" spans="2:14" ht="15" customHeight="1">
      <c r="B47" s="212"/>
      <c r="C47" s="411">
        <v>26</v>
      </c>
      <c r="D47" s="505" t="s">
        <v>22</v>
      </c>
      <c r="E47" s="506"/>
      <c r="F47" s="37">
        <v>0</v>
      </c>
      <c r="G47" s="37">
        <v>0</v>
      </c>
      <c r="H47" s="37">
        <v>0</v>
      </c>
      <c r="I47" s="37">
        <v>0</v>
      </c>
      <c r="J47" s="37">
        <v>0</v>
      </c>
      <c r="K47" s="37">
        <v>0</v>
      </c>
      <c r="L47" s="413" t="s">
        <v>595</v>
      </c>
      <c r="M47" s="224"/>
      <c r="N47" s="240"/>
    </row>
    <row r="48" spans="2:14" ht="15" customHeight="1">
      <c r="B48" s="212"/>
      <c r="C48" s="19"/>
      <c r="D48" s="512"/>
      <c r="E48" s="513"/>
      <c r="F48" s="335"/>
      <c r="G48" s="233"/>
      <c r="H48" s="233"/>
      <c r="I48" s="233"/>
      <c r="J48" s="233"/>
      <c r="K48" s="223"/>
      <c r="L48" s="236"/>
      <c r="M48" s="224"/>
      <c r="N48" s="240"/>
    </row>
    <row r="49" spans="2:14" ht="15" customHeight="1">
      <c r="B49" s="212"/>
      <c r="C49" s="19"/>
      <c r="D49" s="514" t="s">
        <v>569</v>
      </c>
      <c r="E49" s="522"/>
      <c r="F49" s="234">
        <f aca="true" t="shared" si="2" ref="F49:K49">SUM(F43:F47)</f>
        <v>0</v>
      </c>
      <c r="G49" s="234">
        <f t="shared" si="2"/>
        <v>0</v>
      </c>
      <c r="H49" s="234">
        <f t="shared" si="2"/>
        <v>0</v>
      </c>
      <c r="I49" s="234">
        <f t="shared" si="2"/>
        <v>0</v>
      </c>
      <c r="J49" s="234">
        <f t="shared" si="2"/>
        <v>0</v>
      </c>
      <c r="K49" s="234">
        <f t="shared" si="2"/>
        <v>0</v>
      </c>
      <c r="L49" s="290"/>
      <c r="M49" s="224"/>
      <c r="N49" s="240"/>
    </row>
    <row r="50" spans="2:14" ht="15" customHeight="1">
      <c r="B50" s="212"/>
      <c r="C50" s="19"/>
      <c r="D50" s="523"/>
      <c r="E50" s="524"/>
      <c r="F50" s="335"/>
      <c r="G50" s="233"/>
      <c r="H50" s="233"/>
      <c r="I50" s="233"/>
      <c r="J50" s="233"/>
      <c r="K50" s="223"/>
      <c r="L50" s="224"/>
      <c r="M50" s="224"/>
      <c r="N50" s="240"/>
    </row>
    <row r="51" spans="2:14" ht="15" customHeight="1">
      <c r="B51" s="212"/>
      <c r="C51" s="19"/>
      <c r="D51" s="514" t="s">
        <v>570</v>
      </c>
      <c r="E51" s="522"/>
      <c r="F51" s="234">
        <f aca="true" t="shared" si="3" ref="F51:K51">F28+F40+F49</f>
        <v>4988768.475</v>
      </c>
      <c r="G51" s="234">
        <f t="shared" si="3"/>
        <v>4854397.338125</v>
      </c>
      <c r="H51" s="234">
        <f t="shared" si="3"/>
        <v>5243810.715</v>
      </c>
      <c r="I51" s="234">
        <f t="shared" si="3"/>
        <v>5646988.161875</v>
      </c>
      <c r="J51" s="234">
        <f t="shared" si="3"/>
        <v>6418718.8</v>
      </c>
      <c r="K51" s="234">
        <f t="shared" si="3"/>
        <v>7011734.523125</v>
      </c>
      <c r="L51" s="290"/>
      <c r="M51" s="224"/>
      <c r="N51" s="240"/>
    </row>
    <row r="52" spans="2:14" ht="15" customHeight="1">
      <c r="B52" s="212"/>
      <c r="C52" s="19"/>
      <c r="D52" s="31"/>
      <c r="E52" s="241"/>
      <c r="F52" s="334"/>
      <c r="G52" s="6"/>
      <c r="H52" s="6"/>
      <c r="I52" s="6"/>
      <c r="J52" s="6"/>
      <c r="K52" s="235"/>
      <c r="L52" s="229"/>
      <c r="M52" s="224"/>
      <c r="N52" s="240"/>
    </row>
    <row r="53" spans="2:15" s="226" customFormat="1" ht="15" customHeight="1">
      <c r="B53" s="212"/>
      <c r="C53" s="19"/>
      <c r="D53" s="525" t="s">
        <v>23</v>
      </c>
      <c r="E53" s="526"/>
      <c r="F53" s="4"/>
      <c r="G53" s="4"/>
      <c r="H53" s="4"/>
      <c r="I53" s="4"/>
      <c r="J53" s="4"/>
      <c r="K53" s="213"/>
      <c r="L53" s="224"/>
      <c r="M53" s="224"/>
      <c r="N53" s="232"/>
      <c r="O53" s="243"/>
    </row>
    <row r="54" spans="2:15" s="226" customFormat="1" ht="15" customHeight="1">
      <c r="B54" s="212"/>
      <c r="C54" s="19"/>
      <c r="D54" s="527"/>
      <c r="E54" s="528"/>
      <c r="F54" s="333"/>
      <c r="G54" s="2"/>
      <c r="H54" s="2"/>
      <c r="I54" s="2"/>
      <c r="J54" s="2"/>
      <c r="K54" s="213"/>
      <c r="L54" s="224"/>
      <c r="M54" s="224"/>
      <c r="N54" s="232"/>
      <c r="O54" s="243"/>
    </row>
    <row r="55" spans="2:14" ht="15" customHeight="1">
      <c r="B55" s="212"/>
      <c r="C55" s="19"/>
      <c r="D55" s="518" t="s">
        <v>510</v>
      </c>
      <c r="E55" s="519"/>
      <c r="F55" s="238"/>
      <c r="G55" s="238"/>
      <c r="H55" s="238"/>
      <c r="I55" s="238"/>
      <c r="J55" s="238"/>
      <c r="K55" s="239"/>
      <c r="L55" s="244"/>
      <c r="M55" s="229"/>
      <c r="N55" s="228"/>
    </row>
    <row r="56" spans="2:14" ht="15" customHeight="1">
      <c r="B56" s="212"/>
      <c r="C56" s="411">
        <v>27</v>
      </c>
      <c r="D56" s="505" t="s">
        <v>511</v>
      </c>
      <c r="E56" s="506"/>
      <c r="F56" s="37">
        <v>124025</v>
      </c>
      <c r="G56" s="37">
        <v>127100</v>
      </c>
      <c r="H56" s="37">
        <v>130277.5</v>
      </c>
      <c r="I56" s="37">
        <v>133534.44</v>
      </c>
      <c r="J56" s="37">
        <v>136872.8</v>
      </c>
      <c r="K56" s="37">
        <v>140294.62</v>
      </c>
      <c r="L56" s="413" t="s">
        <v>467</v>
      </c>
      <c r="M56" s="224"/>
      <c r="N56" s="240"/>
    </row>
    <row r="57" spans="2:14" ht="15" customHeight="1">
      <c r="B57" s="212"/>
      <c r="C57" s="411">
        <v>28</v>
      </c>
      <c r="D57" s="505" t="s">
        <v>512</v>
      </c>
      <c r="E57" s="506"/>
      <c r="F57" s="37">
        <v>203500</v>
      </c>
      <c r="G57" s="37">
        <v>208587.5</v>
      </c>
      <c r="H57" s="37">
        <v>213802.18</v>
      </c>
      <c r="I57" s="37">
        <v>219147.24</v>
      </c>
      <c r="J57" s="37">
        <v>224625.92</v>
      </c>
      <c r="K57" s="37">
        <v>230241.57</v>
      </c>
      <c r="L57" s="413" t="s">
        <v>467</v>
      </c>
      <c r="M57" s="224"/>
      <c r="N57" s="240"/>
    </row>
    <row r="58" spans="2:14" ht="15" customHeight="1">
      <c r="B58" s="212"/>
      <c r="C58" s="411">
        <v>29</v>
      </c>
      <c r="D58" s="505" t="s">
        <v>513</v>
      </c>
      <c r="E58" s="506"/>
      <c r="F58" s="37">
        <v>309500</v>
      </c>
      <c r="G58" s="37">
        <v>313650</v>
      </c>
      <c r="H58" s="37">
        <v>321491.3</v>
      </c>
      <c r="I58" s="37">
        <v>329528.53</v>
      </c>
      <c r="J58" s="37">
        <v>337766.75</v>
      </c>
      <c r="K58" s="37">
        <v>346210.91</v>
      </c>
      <c r="L58" s="413" t="s">
        <v>467</v>
      </c>
      <c r="M58" s="224"/>
      <c r="N58" s="240"/>
    </row>
    <row r="59" spans="2:14" ht="15" customHeight="1">
      <c r="B59" s="212"/>
      <c r="C59" s="411">
        <v>30</v>
      </c>
      <c r="D59" s="505" t="s">
        <v>24</v>
      </c>
      <c r="E59" s="506"/>
      <c r="F59" s="37">
        <v>85000</v>
      </c>
      <c r="G59" s="37">
        <v>87125</v>
      </c>
      <c r="H59" s="37">
        <v>89303.13</v>
      </c>
      <c r="I59" s="37">
        <v>91535.7</v>
      </c>
      <c r="J59" s="37">
        <v>93824.1</v>
      </c>
      <c r="K59" s="37">
        <v>96169.7</v>
      </c>
      <c r="L59" s="413" t="s">
        <v>467</v>
      </c>
      <c r="M59" s="224"/>
      <c r="N59" s="232"/>
    </row>
    <row r="60" spans="2:14" ht="15" customHeight="1">
      <c r="B60" s="212"/>
      <c r="C60" s="19"/>
      <c r="D60" s="30"/>
      <c r="E60" s="6"/>
      <c r="F60" s="335"/>
      <c r="G60" s="233"/>
      <c r="H60" s="233"/>
      <c r="I60" s="233"/>
      <c r="J60" s="233"/>
      <c r="K60" s="223"/>
      <c r="L60" s="242"/>
      <c r="M60" s="224"/>
      <c r="N60" s="232"/>
    </row>
    <row r="61" spans="2:14" ht="15" customHeight="1">
      <c r="B61" s="212"/>
      <c r="C61" s="19"/>
      <c r="D61" s="514" t="s">
        <v>25</v>
      </c>
      <c r="E61" s="515"/>
      <c r="F61" s="234">
        <f aca="true" t="shared" si="4" ref="F61:K61">SUM(F56:F59)</f>
        <v>722025</v>
      </c>
      <c r="G61" s="234">
        <f t="shared" si="4"/>
        <v>736462.5</v>
      </c>
      <c r="H61" s="234">
        <f t="shared" si="4"/>
        <v>754874.11</v>
      </c>
      <c r="I61" s="234">
        <f t="shared" si="4"/>
        <v>773745.9099999999</v>
      </c>
      <c r="J61" s="234">
        <f t="shared" si="4"/>
        <v>793089.57</v>
      </c>
      <c r="K61" s="234">
        <f t="shared" si="4"/>
        <v>812916.7999999999</v>
      </c>
      <c r="L61" s="290"/>
      <c r="M61" s="224"/>
      <c r="N61" s="232"/>
    </row>
    <row r="62" spans="2:14" ht="15" customHeight="1">
      <c r="B62" s="212"/>
      <c r="C62" s="19"/>
      <c r="D62" s="22"/>
      <c r="E62" s="238"/>
      <c r="F62" s="334"/>
      <c r="G62" s="6"/>
      <c r="H62" s="6"/>
      <c r="I62" s="6"/>
      <c r="J62" s="6"/>
      <c r="K62" s="235"/>
      <c r="L62" s="229"/>
      <c r="M62" s="224"/>
      <c r="N62" s="232"/>
    </row>
    <row r="63" spans="2:15" ht="15" customHeight="1">
      <c r="B63" s="212"/>
      <c r="C63" s="19"/>
      <c r="D63" s="518" t="s">
        <v>515</v>
      </c>
      <c r="E63" s="519"/>
      <c r="F63" s="238"/>
      <c r="G63" s="238"/>
      <c r="H63" s="238"/>
      <c r="I63" s="238"/>
      <c r="J63" s="238"/>
      <c r="K63" s="239"/>
      <c r="L63" s="33"/>
      <c r="M63" s="245"/>
      <c r="N63" s="240"/>
      <c r="O63" s="246"/>
    </row>
    <row r="64" spans="2:14" ht="15" customHeight="1">
      <c r="B64" s="212"/>
      <c r="C64" s="411">
        <v>31</v>
      </c>
      <c r="D64" s="505" t="s">
        <v>514</v>
      </c>
      <c r="E64" s="506"/>
      <c r="F64" s="37">
        <v>928050</v>
      </c>
      <c r="G64" s="37">
        <v>888675</v>
      </c>
      <c r="H64" s="37">
        <v>1009650.63</v>
      </c>
      <c r="I64" s="37">
        <v>1136119.61</v>
      </c>
      <c r="J64" s="37">
        <v>1268281.1</v>
      </c>
      <c r="K64" s="37">
        <v>1512692.78</v>
      </c>
      <c r="L64" s="414" t="s">
        <v>478</v>
      </c>
      <c r="M64" s="224"/>
      <c r="N64" s="240"/>
    </row>
    <row r="65" spans="2:14" ht="15" customHeight="1">
      <c r="B65" s="212"/>
      <c r="C65" s="411">
        <v>32</v>
      </c>
      <c r="D65" s="505" t="s">
        <v>26</v>
      </c>
      <c r="E65" s="506"/>
      <c r="F65" s="37">
        <v>88000</v>
      </c>
      <c r="G65" s="37">
        <v>92266.4</v>
      </c>
      <c r="H65" s="37">
        <v>94573.06</v>
      </c>
      <c r="I65" s="37">
        <v>96937.39</v>
      </c>
      <c r="J65" s="37">
        <v>137994.27</v>
      </c>
      <c r="K65" s="37">
        <v>141444.13</v>
      </c>
      <c r="L65" s="414" t="s">
        <v>478</v>
      </c>
      <c r="M65" s="224"/>
      <c r="N65" s="232"/>
    </row>
    <row r="66" spans="2:14" ht="15" customHeight="1">
      <c r="B66" s="212"/>
      <c r="C66" s="411">
        <v>33</v>
      </c>
      <c r="D66" s="505" t="s">
        <v>27</v>
      </c>
      <c r="E66" s="506"/>
      <c r="F66" s="37">
        <v>464850</v>
      </c>
      <c r="G66" s="37">
        <v>188600</v>
      </c>
      <c r="H66" s="37">
        <v>193315</v>
      </c>
      <c r="I66" s="37">
        <v>198147.88</v>
      </c>
      <c r="J66" s="37">
        <v>238423.58</v>
      </c>
      <c r="K66" s="37">
        <v>244384.17</v>
      </c>
      <c r="L66" s="414" t="s">
        <v>596</v>
      </c>
      <c r="M66" s="224"/>
      <c r="N66" s="232"/>
    </row>
    <row r="67" spans="2:14" ht="15" customHeight="1">
      <c r="B67" s="212"/>
      <c r="C67" s="411">
        <v>34</v>
      </c>
      <c r="D67" s="505" t="s">
        <v>28</v>
      </c>
      <c r="E67" s="506"/>
      <c r="F67" s="37">
        <v>0</v>
      </c>
      <c r="G67" s="37">
        <v>0</v>
      </c>
      <c r="H67" s="37">
        <v>0</v>
      </c>
      <c r="I67" s="37">
        <v>0</v>
      </c>
      <c r="J67" s="37">
        <v>0</v>
      </c>
      <c r="K67" s="37">
        <v>0</v>
      </c>
      <c r="L67" s="413"/>
      <c r="M67" s="224"/>
      <c r="N67" s="232"/>
    </row>
    <row r="68" spans="2:14" ht="15" customHeight="1">
      <c r="B68" s="212"/>
      <c r="C68" s="19"/>
      <c r="D68" s="30"/>
      <c r="E68" s="6"/>
      <c r="F68" s="335"/>
      <c r="G68" s="233"/>
      <c r="H68" s="233"/>
      <c r="I68" s="233"/>
      <c r="J68" s="233"/>
      <c r="K68" s="223"/>
      <c r="L68" s="242"/>
      <c r="M68" s="224"/>
      <c r="N68" s="232"/>
    </row>
    <row r="69" spans="2:14" ht="15" customHeight="1">
      <c r="B69" s="212"/>
      <c r="C69" s="19"/>
      <c r="D69" s="514" t="s">
        <v>29</v>
      </c>
      <c r="E69" s="515"/>
      <c r="F69" s="293">
        <f aca="true" t="shared" si="5" ref="F69:K69">SUM(F64:F67)</f>
        <v>1480900</v>
      </c>
      <c r="G69" s="293">
        <f t="shared" si="5"/>
        <v>1169541.4</v>
      </c>
      <c r="H69" s="293">
        <f t="shared" si="5"/>
        <v>1297538.69</v>
      </c>
      <c r="I69" s="293">
        <f t="shared" si="5"/>
        <v>1431204.88</v>
      </c>
      <c r="J69" s="293">
        <f t="shared" si="5"/>
        <v>1644698.9500000002</v>
      </c>
      <c r="K69" s="293">
        <f t="shared" si="5"/>
        <v>1898521.08</v>
      </c>
      <c r="L69" s="290"/>
      <c r="M69" s="224"/>
      <c r="N69" s="232"/>
    </row>
    <row r="70" spans="2:15" s="226" customFormat="1" ht="15" customHeight="1">
      <c r="B70" s="212"/>
      <c r="C70" s="19"/>
      <c r="D70" s="31"/>
      <c r="E70" s="241"/>
      <c r="F70" s="334"/>
      <c r="G70" s="6"/>
      <c r="H70" s="6"/>
      <c r="I70" s="6"/>
      <c r="J70" s="6"/>
      <c r="K70" s="235"/>
      <c r="L70" s="229"/>
      <c r="M70" s="224"/>
      <c r="N70" s="232"/>
      <c r="O70" s="243"/>
    </row>
    <row r="71" spans="2:15" s="226" customFormat="1" ht="15" customHeight="1">
      <c r="B71" s="212"/>
      <c r="C71" s="19"/>
      <c r="D71" s="518" t="s">
        <v>516</v>
      </c>
      <c r="E71" s="519"/>
      <c r="F71" s="238"/>
      <c r="G71" s="238"/>
      <c r="H71" s="238"/>
      <c r="I71" s="238"/>
      <c r="J71" s="238"/>
      <c r="K71" s="239"/>
      <c r="L71" s="237"/>
      <c r="M71" s="224"/>
      <c r="N71" s="232"/>
      <c r="O71" s="243"/>
    </row>
    <row r="72" spans="2:14" ht="15" customHeight="1">
      <c r="B72" s="212"/>
      <c r="C72" s="411">
        <v>35</v>
      </c>
      <c r="D72" s="505" t="s">
        <v>517</v>
      </c>
      <c r="E72" s="506"/>
      <c r="F72" s="37">
        <v>90740</v>
      </c>
      <c r="G72" s="37">
        <v>94300</v>
      </c>
      <c r="H72" s="37">
        <v>96657.5</v>
      </c>
      <c r="I72" s="37">
        <v>99073.94</v>
      </c>
      <c r="J72" s="37">
        <v>101550.78</v>
      </c>
      <c r="K72" s="37">
        <v>104089.56</v>
      </c>
      <c r="L72" s="38" t="s">
        <v>467</v>
      </c>
      <c r="M72" s="224"/>
      <c r="N72" s="228"/>
    </row>
    <row r="73" spans="2:14" ht="15" customHeight="1">
      <c r="B73" s="212"/>
      <c r="C73" s="411">
        <v>36</v>
      </c>
      <c r="D73" s="505" t="s">
        <v>518</v>
      </c>
      <c r="E73" s="506"/>
      <c r="F73" s="37">
        <v>0</v>
      </c>
      <c r="G73" s="37">
        <v>0</v>
      </c>
      <c r="H73" s="37">
        <v>0</v>
      </c>
      <c r="I73" s="37">
        <v>0</v>
      </c>
      <c r="J73" s="37">
        <v>0</v>
      </c>
      <c r="K73" s="37">
        <v>0</v>
      </c>
      <c r="L73" s="261"/>
      <c r="M73" s="247"/>
      <c r="N73" s="240"/>
    </row>
    <row r="74" spans="2:14" ht="15" customHeight="1">
      <c r="B74" s="212"/>
      <c r="C74" s="411">
        <v>37</v>
      </c>
      <c r="D74" s="505" t="s">
        <v>519</v>
      </c>
      <c r="E74" s="506"/>
      <c r="F74" s="37">
        <v>182000</v>
      </c>
      <c r="G74" s="37">
        <v>187042</v>
      </c>
      <c r="H74" s="37">
        <v>191718.05</v>
      </c>
      <c r="I74" s="37">
        <v>237432.85</v>
      </c>
      <c r="J74" s="37">
        <v>243368.67</v>
      </c>
      <c r="K74" s="37">
        <v>270089.77</v>
      </c>
      <c r="L74" s="38" t="s">
        <v>585</v>
      </c>
      <c r="M74" s="224"/>
      <c r="N74" s="232"/>
    </row>
    <row r="75" spans="2:14" ht="15" customHeight="1">
      <c r="B75" s="212"/>
      <c r="C75" s="411">
        <v>38</v>
      </c>
      <c r="D75" s="505" t="s">
        <v>458</v>
      </c>
      <c r="E75" s="506"/>
      <c r="F75" s="37">
        <v>0</v>
      </c>
      <c r="G75" s="37">
        <v>25000</v>
      </c>
      <c r="H75" s="37">
        <v>25000</v>
      </c>
      <c r="I75" s="37">
        <v>25625</v>
      </c>
      <c r="J75" s="37">
        <v>26265.63</v>
      </c>
      <c r="K75" s="37">
        <v>26922.27</v>
      </c>
      <c r="L75" s="415" t="s">
        <v>597</v>
      </c>
      <c r="M75" s="247"/>
      <c r="N75" s="232"/>
    </row>
    <row r="76" spans="2:14" ht="15" customHeight="1">
      <c r="B76" s="212"/>
      <c r="C76" s="411">
        <v>39</v>
      </c>
      <c r="D76" s="505" t="s">
        <v>30</v>
      </c>
      <c r="E76" s="506"/>
      <c r="F76" s="37">
        <v>0</v>
      </c>
      <c r="G76" s="37">
        <v>0</v>
      </c>
      <c r="H76" s="37">
        <v>0</v>
      </c>
      <c r="I76" s="37">
        <v>0</v>
      </c>
      <c r="J76" s="37">
        <v>0</v>
      </c>
      <c r="K76" s="37">
        <v>0</v>
      </c>
      <c r="L76" s="38"/>
      <c r="M76" s="224"/>
      <c r="N76" s="240"/>
    </row>
    <row r="77" spans="2:14" ht="15" customHeight="1">
      <c r="B77" s="212"/>
      <c r="C77" s="411">
        <v>40</v>
      </c>
      <c r="D77" s="505" t="s">
        <v>520</v>
      </c>
      <c r="E77" s="506"/>
      <c r="F77" s="37">
        <v>0</v>
      </c>
      <c r="G77" s="37">
        <v>0</v>
      </c>
      <c r="H77" s="37">
        <v>0</v>
      </c>
      <c r="I77" s="37">
        <v>0</v>
      </c>
      <c r="J77" s="37">
        <v>0</v>
      </c>
      <c r="K77" s="37">
        <v>0</v>
      </c>
      <c r="L77" s="38"/>
      <c r="M77" s="224"/>
      <c r="N77" s="232"/>
    </row>
    <row r="78" spans="2:14" ht="15" customHeight="1">
      <c r="B78" s="212"/>
      <c r="C78" s="411">
        <v>41</v>
      </c>
      <c r="D78" s="503" t="s">
        <v>521</v>
      </c>
      <c r="E78" s="504"/>
      <c r="F78" s="37">
        <f>68900</f>
        <v>68900</v>
      </c>
      <c r="G78" s="37">
        <v>70725</v>
      </c>
      <c r="H78" s="37">
        <v>72493.12</v>
      </c>
      <c r="I78" s="37">
        <v>74305.41</v>
      </c>
      <c r="J78" s="37">
        <v>114244.62</v>
      </c>
      <c r="K78" s="37">
        <v>117100.78</v>
      </c>
      <c r="L78" s="38" t="s">
        <v>598</v>
      </c>
      <c r="M78" s="224"/>
      <c r="N78" s="232"/>
    </row>
    <row r="79" spans="2:14" ht="15" customHeight="1">
      <c r="B79" s="212"/>
      <c r="C79" s="411">
        <v>42</v>
      </c>
      <c r="D79" s="505" t="s">
        <v>522</v>
      </c>
      <c r="E79" s="506"/>
      <c r="F79" s="37">
        <v>31500</v>
      </c>
      <c r="G79" s="37">
        <v>63000</v>
      </c>
      <c r="H79" s="37">
        <v>64575</v>
      </c>
      <c r="I79" s="37">
        <v>66189.38</v>
      </c>
      <c r="J79" s="37">
        <v>67844.1</v>
      </c>
      <c r="K79" s="37">
        <v>69540.21</v>
      </c>
      <c r="L79" s="38" t="s">
        <v>599</v>
      </c>
      <c r="M79" s="224"/>
      <c r="N79" s="232"/>
    </row>
    <row r="80" spans="2:14" ht="15" customHeight="1">
      <c r="B80" s="212"/>
      <c r="C80" s="411">
        <v>43</v>
      </c>
      <c r="D80" s="505" t="s">
        <v>31</v>
      </c>
      <c r="E80" s="506"/>
      <c r="F80" s="37">
        <v>0</v>
      </c>
      <c r="G80" s="37">
        <v>0</v>
      </c>
      <c r="H80" s="37">
        <v>0</v>
      </c>
      <c r="I80" s="37">
        <v>0</v>
      </c>
      <c r="J80" s="37">
        <v>0</v>
      </c>
      <c r="K80" s="37">
        <v>0</v>
      </c>
      <c r="L80" s="38"/>
      <c r="M80" s="224"/>
      <c r="N80" s="232"/>
    </row>
    <row r="81" spans="2:14" ht="15" customHeight="1">
      <c r="B81" s="212"/>
      <c r="C81" s="19"/>
      <c r="D81" s="30"/>
      <c r="E81" s="6"/>
      <c r="F81" s="335"/>
      <c r="G81" s="233"/>
      <c r="H81" s="233"/>
      <c r="I81" s="233"/>
      <c r="J81" s="233"/>
      <c r="K81" s="223"/>
      <c r="L81" s="242"/>
      <c r="M81" s="224"/>
      <c r="N81" s="232"/>
    </row>
    <row r="82" spans="2:15" s="226" customFormat="1" ht="15" customHeight="1">
      <c r="B82" s="212"/>
      <c r="C82" s="19"/>
      <c r="D82" s="514" t="s">
        <v>32</v>
      </c>
      <c r="E82" s="515"/>
      <c r="F82" s="293">
        <f aca="true" t="shared" si="6" ref="F82:K82">SUM(F72:F80)</f>
        <v>373140</v>
      </c>
      <c r="G82" s="293">
        <f t="shared" si="6"/>
        <v>440067</v>
      </c>
      <c r="H82" s="293">
        <f t="shared" si="6"/>
        <v>450443.67</v>
      </c>
      <c r="I82" s="293">
        <f t="shared" si="6"/>
        <v>502626.5800000001</v>
      </c>
      <c r="J82" s="293">
        <f t="shared" si="6"/>
        <v>553273.8</v>
      </c>
      <c r="K82" s="293">
        <f t="shared" si="6"/>
        <v>587742.59</v>
      </c>
      <c r="L82" s="290"/>
      <c r="M82" s="224"/>
      <c r="N82" s="232"/>
      <c r="O82" s="243"/>
    </row>
    <row r="83" spans="2:15" s="226" customFormat="1" ht="15" customHeight="1">
      <c r="B83" s="212"/>
      <c r="C83" s="19"/>
      <c r="D83" s="32"/>
      <c r="E83" s="2"/>
      <c r="F83" s="335"/>
      <c r="G83" s="233"/>
      <c r="H83" s="233"/>
      <c r="I83" s="233"/>
      <c r="J83" s="233"/>
      <c r="K83" s="233"/>
      <c r="L83" s="418"/>
      <c r="M83" s="224"/>
      <c r="N83" s="232"/>
      <c r="O83" s="243"/>
    </row>
    <row r="84" spans="2:14" ht="15" customHeight="1">
      <c r="B84" s="212"/>
      <c r="C84" s="19"/>
      <c r="D84" s="514" t="s">
        <v>33</v>
      </c>
      <c r="E84" s="515"/>
      <c r="F84" s="234">
        <f aca="true" t="shared" si="7" ref="F84:K84">F61+F69+F82</f>
        <v>2576065</v>
      </c>
      <c r="G84" s="234">
        <f t="shared" si="7"/>
        <v>2346070.9</v>
      </c>
      <c r="H84" s="234">
        <f t="shared" si="7"/>
        <v>2502856.4699999997</v>
      </c>
      <c r="I84" s="234">
        <f t="shared" si="7"/>
        <v>2707577.37</v>
      </c>
      <c r="J84" s="234">
        <f t="shared" si="7"/>
        <v>2991062.3200000003</v>
      </c>
      <c r="K84" s="234">
        <f t="shared" si="7"/>
        <v>3299180.4699999997</v>
      </c>
      <c r="L84" s="290" t="s">
        <v>2</v>
      </c>
      <c r="M84" s="224"/>
      <c r="N84" s="228"/>
    </row>
    <row r="85" spans="2:14" ht="15" customHeight="1">
      <c r="B85" s="212"/>
      <c r="C85" s="19"/>
      <c r="D85" s="31"/>
      <c r="E85" s="241"/>
      <c r="F85" s="292" t="str">
        <f>IF((ROUND(F84,2)=ROUND('3. Staffing Plan'!L62,2)),"","ERROR")</f>
        <v>ERROR</v>
      </c>
      <c r="G85" s="292">
        <f>IF((ROUND(G84,2)=ROUND('3. Staffing Plan'!M62,2)),"","ERROR")</f>
      </c>
      <c r="H85" s="292">
        <f>IF((ROUND(H84,2)=ROUND('3. Staffing Plan'!Q62,2)),"","ERROR")</f>
      </c>
      <c r="I85" s="292">
        <f>IF((ROUND(I84,2)=ROUND('3. Staffing Plan'!U62,2)),"","ERROR")</f>
      </c>
      <c r="J85" s="292">
        <f>IF((ROUND(J84,2)=ROUND('3. Staffing Plan'!Y62,2)),"","ERROR")</f>
      </c>
      <c r="K85" s="292">
        <f>IF((ROUND(K84,2)=ROUND('3. Staffing Plan'!AC62,2)),"","ERROR")</f>
      </c>
      <c r="L85" s="229">
        <f>IF(COUNTIF(G85:K85,"ERROR"),"Tab 3 and Tab 5 Values do not match.","")</f>
      </c>
      <c r="M85" s="224"/>
      <c r="N85" s="248"/>
    </row>
    <row r="86" spans="2:14" ht="15" customHeight="1">
      <c r="B86" s="212"/>
      <c r="C86" s="19"/>
      <c r="D86" s="518" t="s">
        <v>419</v>
      </c>
      <c r="E86" s="519"/>
      <c r="F86" s="238"/>
      <c r="G86" s="238"/>
      <c r="H86" s="238"/>
      <c r="I86" s="238"/>
      <c r="J86" s="238"/>
      <c r="K86" s="239"/>
      <c r="L86" s="224"/>
      <c r="M86" s="224"/>
      <c r="N86" s="240"/>
    </row>
    <row r="87" spans="2:14" ht="15" customHeight="1">
      <c r="B87" s="212"/>
      <c r="C87" s="411">
        <v>44</v>
      </c>
      <c r="D87" s="505" t="s">
        <v>417</v>
      </c>
      <c r="E87" s="506"/>
      <c r="F87" s="451">
        <v>261470.6</v>
      </c>
      <c r="G87" s="227">
        <f>G84*('3. Staffing Plan'!L53+'3. Staffing Plan'!L54+'3. Staffing Plan'!L55)</f>
        <v>238126.19635</v>
      </c>
      <c r="H87" s="227">
        <f>H84*('3. Staffing Plan'!P53+'3. Staffing Plan'!P54+'3. Staffing Plan'!P55)</f>
        <v>254039.931705</v>
      </c>
      <c r="I87" s="227">
        <f>I84*('3. Staffing Plan'!T53+'3. Staffing Plan'!T54+'3. Staffing Plan'!T55)</f>
        <v>274819.103055</v>
      </c>
      <c r="J87" s="227">
        <f>J84*('3. Staffing Plan'!X53+'3. Staffing Plan'!X54+'3. Staffing Plan'!X55)</f>
        <v>303592.82548000006</v>
      </c>
      <c r="K87" s="227">
        <f>K84*('3. Staffing Plan'!AB53+'3. Staffing Plan'!AB54+'3. Staffing Plan'!AB55)</f>
        <v>334866.817705</v>
      </c>
      <c r="L87" s="444"/>
      <c r="M87" s="224"/>
      <c r="N87" s="240"/>
    </row>
    <row r="88" spans="2:14" ht="15" customHeight="1">
      <c r="B88" s="212"/>
      <c r="C88" s="411">
        <v>45</v>
      </c>
      <c r="D88" s="505" t="s">
        <v>415</v>
      </c>
      <c r="E88" s="506"/>
      <c r="F88" s="227">
        <f>'3. Staffing Plan'!H51</f>
        <v>285023.19</v>
      </c>
      <c r="G88" s="227">
        <f>'3. Staffing Plan'!M51</f>
        <v>200987.835</v>
      </c>
      <c r="H88" s="227">
        <f>'3. Staffing Plan'!Q51</f>
        <v>231251.475</v>
      </c>
      <c r="I88" s="227">
        <f>'3. Staffing Plan'!U51</f>
        <v>271148.95</v>
      </c>
      <c r="J88" s="227">
        <f>'3. Staffing Plan'!Y51</f>
        <v>329012.695</v>
      </c>
      <c r="K88" s="227">
        <f>'3. Staffing Plan'!AC51</f>
        <v>395737.875</v>
      </c>
      <c r="L88" s="444"/>
      <c r="M88" s="224"/>
      <c r="N88" s="232"/>
    </row>
    <row r="89" spans="2:14" ht="15" customHeight="1">
      <c r="B89" s="212"/>
      <c r="C89" s="411">
        <v>46</v>
      </c>
      <c r="D89" s="505" t="s">
        <v>410</v>
      </c>
      <c r="E89" s="506"/>
      <c r="F89" s="227">
        <f>'3. Staffing Plan'!H52</f>
        <v>66531.03</v>
      </c>
      <c r="G89" s="227">
        <f>'3. Staffing Plan'!M52</f>
        <v>53250.090000000004</v>
      </c>
      <c r="H89" s="227">
        <f>'3. Staffing Plan'!Q52</f>
        <v>57090.67</v>
      </c>
      <c r="I89" s="227">
        <f>'3. Staffing Plan'!U52</f>
        <v>62376.33499999999</v>
      </c>
      <c r="J89" s="227">
        <f>'3. Staffing Plan'!Y52</f>
        <v>70526.91</v>
      </c>
      <c r="K89" s="227">
        <f>'3. Staffing Plan'!AC52</f>
        <v>79046.37</v>
      </c>
      <c r="L89" s="444"/>
      <c r="M89" s="224"/>
      <c r="N89" s="232"/>
    </row>
    <row r="90" spans="2:14" ht="15" customHeight="1">
      <c r="B90" s="212"/>
      <c r="C90" s="411">
        <v>47</v>
      </c>
      <c r="D90" s="505" t="s">
        <v>416</v>
      </c>
      <c r="E90" s="506"/>
      <c r="F90" s="227">
        <f>'3. Staffing Plan'!H56</f>
        <v>217850.40000000002</v>
      </c>
      <c r="G90" s="227">
        <f>'3. Staffing Plan'!M56</f>
        <v>84293.64</v>
      </c>
      <c r="H90" s="227">
        <f>'3. Staffing Plan'!Q56</f>
        <v>92537.42</v>
      </c>
      <c r="I90" s="227">
        <f>'3. Staffing Plan'!U56</f>
        <v>103882.31</v>
      </c>
      <c r="J90" s="227">
        <f>'3. Staffing Plan'!Y56</f>
        <v>121376.65</v>
      </c>
      <c r="K90" s="227">
        <f>'3. Staffing Plan'!AC56</f>
        <v>139661.7</v>
      </c>
      <c r="L90" s="444"/>
      <c r="M90" s="224"/>
      <c r="N90" s="232"/>
    </row>
    <row r="91" spans="2:14" ht="15" customHeight="1">
      <c r="B91" s="212"/>
      <c r="C91" s="19"/>
      <c r="D91" s="30"/>
      <c r="E91" s="6"/>
      <c r="F91" s="335"/>
      <c r="G91" s="233"/>
      <c r="H91" s="233"/>
      <c r="I91" s="233"/>
      <c r="J91" s="233"/>
      <c r="K91" s="223"/>
      <c r="L91" s="229"/>
      <c r="M91" s="224"/>
      <c r="N91" s="232"/>
    </row>
    <row r="92" spans="2:14" ht="15" customHeight="1">
      <c r="B92" s="212"/>
      <c r="C92" s="19"/>
      <c r="D92" s="514" t="s">
        <v>34</v>
      </c>
      <c r="E92" s="522"/>
      <c r="F92" s="293">
        <f aca="true" t="shared" si="8" ref="F92:K92">SUM(F87:F90)</f>
        <v>830875.2200000001</v>
      </c>
      <c r="G92" s="293">
        <f t="shared" si="8"/>
        <v>576657.76135</v>
      </c>
      <c r="H92" s="293">
        <f t="shared" si="8"/>
        <v>634919.496705</v>
      </c>
      <c r="I92" s="293">
        <f t="shared" si="8"/>
        <v>712226.698055</v>
      </c>
      <c r="J92" s="293">
        <f t="shared" si="8"/>
        <v>824509.0804800001</v>
      </c>
      <c r="K92" s="293">
        <f t="shared" si="8"/>
        <v>949312.7627050001</v>
      </c>
      <c r="L92" s="290"/>
      <c r="M92" s="224"/>
      <c r="N92" s="232"/>
    </row>
    <row r="93" spans="2:15" s="226" customFormat="1" ht="15" customHeight="1">
      <c r="B93" s="212"/>
      <c r="C93" s="19"/>
      <c r="D93" s="32"/>
      <c r="E93" s="2"/>
      <c r="F93" s="335"/>
      <c r="G93" s="233"/>
      <c r="H93" s="233"/>
      <c r="I93" s="233"/>
      <c r="J93" s="233"/>
      <c r="K93" s="223"/>
      <c r="L93" s="229"/>
      <c r="M93" s="224"/>
      <c r="N93" s="232"/>
      <c r="O93" s="243"/>
    </row>
    <row r="94" spans="2:15" s="226" customFormat="1" ht="15" customHeight="1">
      <c r="B94" s="212"/>
      <c r="C94" s="19"/>
      <c r="D94" s="514" t="s">
        <v>35</v>
      </c>
      <c r="E94" s="522"/>
      <c r="F94" s="293">
        <f aca="true" t="shared" si="9" ref="F94:K94">F84+F92</f>
        <v>3406940.22</v>
      </c>
      <c r="G94" s="293">
        <f t="shared" si="9"/>
        <v>2922728.6613499997</v>
      </c>
      <c r="H94" s="293">
        <f t="shared" si="9"/>
        <v>3137775.966705</v>
      </c>
      <c r="I94" s="293">
        <f t="shared" si="9"/>
        <v>3419804.068055</v>
      </c>
      <c r="J94" s="293">
        <f t="shared" si="9"/>
        <v>3815571.4004800003</v>
      </c>
      <c r="K94" s="293">
        <f t="shared" si="9"/>
        <v>4248493.232705</v>
      </c>
      <c r="L94" s="445" t="s">
        <v>571</v>
      </c>
      <c r="M94" s="224"/>
      <c r="N94" s="232"/>
      <c r="O94" s="243"/>
    </row>
    <row r="95" spans="2:14" ht="15" customHeight="1">
      <c r="B95" s="212"/>
      <c r="C95" s="19"/>
      <c r="D95" s="31"/>
      <c r="E95" s="241"/>
      <c r="F95" s="292" t="str">
        <f>IF((ROUND(F94,2)=ROUND('3. Staffing Plan'!H64,2)),"","ERROR")</f>
        <v>ERROR</v>
      </c>
      <c r="G95" s="292">
        <f>IF((ROUND(G94,2)=ROUND('3. Staffing Plan'!M64,2)),"","ERROR")</f>
      </c>
      <c r="H95" s="292">
        <f>IF((ROUND(H94,2)=ROUND('3. Staffing Plan'!Q64,2)),"","ERROR")</f>
      </c>
      <c r="I95" s="292">
        <f>IF((ROUND(I94,2)=ROUND('3. Staffing Plan'!U64,2)),"","ERROR")</f>
      </c>
      <c r="J95" s="292" t="str">
        <f>IF((ROUND(J94,2)=ROUND('3. Staffing Plan'!Y64,2)),"","ERROR")</f>
        <v>ERROR</v>
      </c>
      <c r="K95" s="292">
        <f>IF((ROUND(K94,2)=ROUND('3. Staffing Plan'!AC64,2)),"","ERROR")</f>
      </c>
      <c r="L95" s="446" t="str">
        <f>IF(COUNTIF(G95:K95,"ERROR"),"Tab 3 and Tab 5 Values do not match.","")</f>
        <v>Tab 3 and Tab 5 Values do not match.</v>
      </c>
      <c r="M95" s="290"/>
      <c r="N95" s="228"/>
    </row>
    <row r="96" spans="2:14" ht="15" customHeight="1">
      <c r="B96" s="212"/>
      <c r="C96" s="19"/>
      <c r="D96" s="518" t="s">
        <v>93</v>
      </c>
      <c r="E96" s="519"/>
      <c r="F96" s="238"/>
      <c r="G96" s="507"/>
      <c r="H96" s="508"/>
      <c r="I96" s="508"/>
      <c r="J96" s="508"/>
      <c r="K96" s="508"/>
      <c r="L96" s="249"/>
      <c r="M96" s="230"/>
      <c r="N96" s="240"/>
    </row>
    <row r="97" spans="2:14" ht="15" customHeight="1">
      <c r="B97" s="212"/>
      <c r="C97" s="411">
        <v>48</v>
      </c>
      <c r="D97" s="505" t="s">
        <v>3</v>
      </c>
      <c r="E97" s="506"/>
      <c r="F97" s="37">
        <v>70966</v>
      </c>
      <c r="G97" s="37">
        <v>24036.6</v>
      </c>
      <c r="H97" s="37">
        <v>25771.2</v>
      </c>
      <c r="I97" s="37">
        <v>28001.4</v>
      </c>
      <c r="J97" s="37">
        <v>31718.4</v>
      </c>
      <c r="K97" s="37">
        <v>34939.8</v>
      </c>
      <c r="L97" s="38" t="s">
        <v>468</v>
      </c>
      <c r="M97" s="224"/>
      <c r="N97" s="240"/>
    </row>
    <row r="98" spans="2:14" ht="15" customHeight="1">
      <c r="B98" s="212"/>
      <c r="C98" s="411">
        <v>49</v>
      </c>
      <c r="D98" s="503" t="s">
        <v>523</v>
      </c>
      <c r="E98" s="504"/>
      <c r="F98" s="37">
        <v>0</v>
      </c>
      <c r="G98" s="37">
        <v>0</v>
      </c>
      <c r="H98" s="37">
        <v>0</v>
      </c>
      <c r="I98" s="37">
        <v>0</v>
      </c>
      <c r="J98" s="37">
        <v>0</v>
      </c>
      <c r="K98" s="37">
        <v>0</v>
      </c>
      <c r="L98" s="38"/>
      <c r="M98" s="224"/>
      <c r="N98" s="240"/>
    </row>
    <row r="99" spans="2:14" ht="15" customHeight="1">
      <c r="B99" s="212"/>
      <c r="C99" s="411">
        <v>50</v>
      </c>
      <c r="D99" s="503" t="s">
        <v>524</v>
      </c>
      <c r="E99" s="504"/>
      <c r="F99" s="37">
        <v>103000</v>
      </c>
      <c r="G99" s="37">
        <v>20000</v>
      </c>
      <c r="H99" s="37">
        <v>20000</v>
      </c>
      <c r="I99" s="37">
        <v>20000</v>
      </c>
      <c r="J99" s="37">
        <v>20000</v>
      </c>
      <c r="K99" s="37">
        <v>20000</v>
      </c>
      <c r="L99" s="38" t="s">
        <v>600</v>
      </c>
      <c r="M99" s="224"/>
      <c r="N99" s="240"/>
    </row>
    <row r="100" spans="2:14" ht="15" customHeight="1">
      <c r="B100" s="212"/>
      <c r="C100" s="411">
        <v>51</v>
      </c>
      <c r="D100" s="505" t="s">
        <v>36</v>
      </c>
      <c r="E100" s="506"/>
      <c r="F100" s="37">
        <v>13920</v>
      </c>
      <c r="G100" s="37">
        <v>13502.4</v>
      </c>
      <c r="H100" s="37">
        <v>12765.91</v>
      </c>
      <c r="I100" s="37">
        <v>12435.75</v>
      </c>
      <c r="J100" s="37">
        <v>12339.35</v>
      </c>
      <c r="K100" s="37">
        <v>12166.77</v>
      </c>
      <c r="L100" s="38" t="s">
        <v>469</v>
      </c>
      <c r="M100" s="224"/>
      <c r="N100" s="232"/>
    </row>
    <row r="101" spans="2:14" ht="15" customHeight="1">
      <c r="B101" s="212"/>
      <c r="C101" s="411">
        <v>52</v>
      </c>
      <c r="D101" s="505" t="s">
        <v>37</v>
      </c>
      <c r="E101" s="506"/>
      <c r="F101" s="37">
        <v>16712</v>
      </c>
      <c r="G101" s="37">
        <v>16210.99</v>
      </c>
      <c r="H101" s="37">
        <v>15326.75</v>
      </c>
      <c r="I101" s="37">
        <v>14930.37</v>
      </c>
      <c r="J101" s="37">
        <v>14814.63</v>
      </c>
      <c r="K101" s="37">
        <v>14607.43</v>
      </c>
      <c r="L101" s="38" t="s">
        <v>469</v>
      </c>
      <c r="M101" s="224"/>
      <c r="N101" s="240"/>
    </row>
    <row r="102" spans="2:14" ht="15" customHeight="1">
      <c r="B102" s="212"/>
      <c r="C102" s="411">
        <v>53</v>
      </c>
      <c r="D102" s="21" t="s">
        <v>10</v>
      </c>
      <c r="E102" s="251"/>
      <c r="F102" s="37">
        <v>4875</v>
      </c>
      <c r="G102" s="331">
        <v>4875</v>
      </c>
      <c r="H102" s="331">
        <v>5000</v>
      </c>
      <c r="I102" s="331">
        <v>5000</v>
      </c>
      <c r="J102" s="331">
        <v>5000</v>
      </c>
      <c r="K102" s="331">
        <v>5000</v>
      </c>
      <c r="L102" s="38"/>
      <c r="M102" s="224"/>
      <c r="N102" s="232"/>
    </row>
    <row r="103" spans="2:14" ht="15" customHeight="1">
      <c r="B103" s="212"/>
      <c r="C103" s="411">
        <v>54</v>
      </c>
      <c r="D103" s="505" t="s">
        <v>526</v>
      </c>
      <c r="E103" s="506"/>
      <c r="F103" s="37">
        <v>0</v>
      </c>
      <c r="G103" s="37">
        <v>0</v>
      </c>
      <c r="H103" s="37">
        <v>0</v>
      </c>
      <c r="I103" s="37">
        <v>0</v>
      </c>
      <c r="J103" s="37">
        <v>0</v>
      </c>
      <c r="K103" s="37">
        <v>0</v>
      </c>
      <c r="L103" s="38"/>
      <c r="M103" s="224"/>
      <c r="N103" s="240"/>
    </row>
    <row r="104" spans="2:14" ht="15" customHeight="1">
      <c r="B104" s="212"/>
      <c r="C104" s="411">
        <v>55</v>
      </c>
      <c r="D104" s="503" t="s">
        <v>525</v>
      </c>
      <c r="E104" s="504"/>
      <c r="F104" s="37">
        <v>25000</v>
      </c>
      <c r="G104" s="37">
        <v>50000</v>
      </c>
      <c r="H104" s="37">
        <v>50000</v>
      </c>
      <c r="I104" s="37">
        <v>50000</v>
      </c>
      <c r="J104" s="37">
        <v>50000</v>
      </c>
      <c r="K104" s="37">
        <v>50000</v>
      </c>
      <c r="L104" s="38" t="s">
        <v>601</v>
      </c>
      <c r="M104" s="224"/>
      <c r="N104" s="240"/>
    </row>
    <row r="105" spans="2:14" ht="15" customHeight="1">
      <c r="B105" s="212"/>
      <c r="C105" s="19"/>
      <c r="D105" s="30"/>
      <c r="E105" s="6"/>
      <c r="F105" s="335"/>
      <c r="G105" s="233"/>
      <c r="H105" s="233"/>
      <c r="I105" s="233"/>
      <c r="J105" s="233"/>
      <c r="K105" s="223"/>
      <c r="L105" s="236"/>
      <c r="M105" s="224"/>
      <c r="N105" s="232"/>
    </row>
    <row r="106" spans="2:14" ht="15" customHeight="1">
      <c r="B106" s="212"/>
      <c r="C106" s="19"/>
      <c r="D106" s="514" t="s">
        <v>38</v>
      </c>
      <c r="E106" s="522"/>
      <c r="F106" s="293">
        <f aca="true" t="shared" si="10" ref="F106:K106">SUM(F97:F104)</f>
        <v>234473</v>
      </c>
      <c r="G106" s="293">
        <f t="shared" si="10"/>
        <v>128624.99</v>
      </c>
      <c r="H106" s="293">
        <f t="shared" si="10"/>
        <v>128863.86</v>
      </c>
      <c r="I106" s="293">
        <f t="shared" si="10"/>
        <v>130367.52</v>
      </c>
      <c r="J106" s="293">
        <f t="shared" si="10"/>
        <v>133872.38</v>
      </c>
      <c r="K106" s="293">
        <f t="shared" si="10"/>
        <v>136714</v>
      </c>
      <c r="L106" s="290"/>
      <c r="M106" s="224"/>
      <c r="N106" s="232"/>
    </row>
    <row r="107" spans="2:15" ht="15" customHeight="1">
      <c r="B107" s="212"/>
      <c r="C107" s="19"/>
      <c r="D107" s="31"/>
      <c r="E107" s="241"/>
      <c r="F107" s="334"/>
      <c r="G107" s="6"/>
      <c r="H107" s="6"/>
      <c r="I107" s="6"/>
      <c r="J107" s="6"/>
      <c r="K107" s="235"/>
      <c r="L107" s="224"/>
      <c r="M107" s="224"/>
      <c r="N107" s="232"/>
      <c r="O107" s="250"/>
    </row>
    <row r="108" spans="2:15" ht="15" customHeight="1">
      <c r="B108" s="212"/>
      <c r="C108" s="19"/>
      <c r="D108" s="518" t="s">
        <v>8</v>
      </c>
      <c r="E108" s="519"/>
      <c r="F108" s="238"/>
      <c r="G108" s="507"/>
      <c r="H108" s="508"/>
      <c r="I108" s="508"/>
      <c r="J108" s="508"/>
      <c r="K108" s="508"/>
      <c r="L108" s="249"/>
      <c r="M108" s="230"/>
      <c r="N108" s="232"/>
      <c r="O108" s="250"/>
    </row>
    <row r="109" spans="2:14" ht="15" customHeight="1">
      <c r="B109" s="212"/>
      <c r="C109" s="411">
        <v>56</v>
      </c>
      <c r="D109" s="503" t="s">
        <v>527</v>
      </c>
      <c r="E109" s="504"/>
      <c r="F109" s="37">
        <v>0</v>
      </c>
      <c r="G109" s="37" t="s">
        <v>460</v>
      </c>
      <c r="H109" s="37" t="s">
        <v>460</v>
      </c>
      <c r="I109" s="37" t="s">
        <v>460</v>
      </c>
      <c r="J109" s="37" t="s">
        <v>460</v>
      </c>
      <c r="K109" s="37" t="s">
        <v>460</v>
      </c>
      <c r="L109" s="38"/>
      <c r="M109" s="224"/>
      <c r="N109" s="232"/>
    </row>
    <row r="110" spans="2:14" ht="15" customHeight="1">
      <c r="B110" s="212"/>
      <c r="C110" s="411">
        <v>57</v>
      </c>
      <c r="D110" s="503" t="s">
        <v>528</v>
      </c>
      <c r="E110" s="504"/>
      <c r="F110" s="37">
        <v>20700</v>
      </c>
      <c r="G110" s="331">
        <v>32700</v>
      </c>
      <c r="H110" s="331">
        <v>33700</v>
      </c>
      <c r="I110" s="331">
        <v>35200</v>
      </c>
      <c r="J110" s="331">
        <v>35700</v>
      </c>
      <c r="K110" s="331">
        <v>38700</v>
      </c>
      <c r="L110" s="38" t="s">
        <v>602</v>
      </c>
      <c r="M110" s="252"/>
      <c r="N110" s="232"/>
    </row>
    <row r="111" spans="2:14" ht="15" customHeight="1">
      <c r="B111" s="212"/>
      <c r="C111" s="19"/>
      <c r="D111" s="30"/>
      <c r="E111" s="6"/>
      <c r="F111" s="335"/>
      <c r="G111" s="419"/>
      <c r="H111" s="419"/>
      <c r="I111" s="419"/>
      <c r="J111" s="419"/>
      <c r="K111" s="419"/>
      <c r="L111" s="236"/>
      <c r="M111" s="224"/>
      <c r="N111" s="232"/>
    </row>
    <row r="112" spans="2:15" s="226" customFormat="1" ht="15" customHeight="1">
      <c r="B112" s="212"/>
      <c r="C112" s="19"/>
      <c r="D112" s="514" t="s">
        <v>39</v>
      </c>
      <c r="E112" s="522"/>
      <c r="F112" s="293">
        <f aca="true" t="shared" si="11" ref="F112:K112">SUM(F109:F110)</f>
        <v>20700</v>
      </c>
      <c r="G112" s="293">
        <f t="shared" si="11"/>
        <v>32700</v>
      </c>
      <c r="H112" s="293">
        <f t="shared" si="11"/>
        <v>33700</v>
      </c>
      <c r="I112" s="293">
        <f t="shared" si="11"/>
        <v>35200</v>
      </c>
      <c r="J112" s="293">
        <f t="shared" si="11"/>
        <v>35700</v>
      </c>
      <c r="K112" s="293">
        <f t="shared" si="11"/>
        <v>38700</v>
      </c>
      <c r="L112" s="290"/>
      <c r="M112" s="224"/>
      <c r="N112" s="232"/>
      <c r="O112" s="243"/>
    </row>
    <row r="113" spans="2:14" ht="15" customHeight="1">
      <c r="B113" s="212"/>
      <c r="C113" s="19"/>
      <c r="D113" s="31"/>
      <c r="E113" s="241"/>
      <c r="F113" s="334"/>
      <c r="G113" s="6"/>
      <c r="H113" s="6"/>
      <c r="I113" s="6"/>
      <c r="J113" s="6"/>
      <c r="K113" s="235"/>
      <c r="L113" s="224"/>
      <c r="M113" s="224"/>
      <c r="N113" s="232"/>
    </row>
    <row r="114" spans="2:14" ht="15" customHeight="1">
      <c r="B114" s="212"/>
      <c r="C114" s="19"/>
      <c r="D114" s="518" t="s">
        <v>40</v>
      </c>
      <c r="E114" s="519"/>
      <c r="F114" s="238"/>
      <c r="G114" s="238"/>
      <c r="H114" s="238"/>
      <c r="I114" s="238"/>
      <c r="J114" s="238"/>
      <c r="K114" s="239"/>
      <c r="L114" s="237" t="s">
        <v>2</v>
      </c>
      <c r="M114" s="224"/>
      <c r="N114" s="232"/>
    </row>
    <row r="115" spans="2:14" ht="15" customHeight="1">
      <c r="B115" s="212"/>
      <c r="C115" s="411">
        <v>58</v>
      </c>
      <c r="D115" s="505" t="s">
        <v>4</v>
      </c>
      <c r="E115" s="506"/>
      <c r="F115" s="37">
        <v>0</v>
      </c>
      <c r="G115" s="37">
        <v>0</v>
      </c>
      <c r="H115" s="37">
        <v>0</v>
      </c>
      <c r="I115" s="37">
        <v>0</v>
      </c>
      <c r="J115" s="37">
        <v>0</v>
      </c>
      <c r="K115" s="37">
        <v>0</v>
      </c>
      <c r="L115" s="38" t="s">
        <v>2</v>
      </c>
      <c r="M115" s="224"/>
      <c r="N115" s="232"/>
    </row>
    <row r="116" spans="2:14" ht="15" customHeight="1">
      <c r="B116" s="212"/>
      <c r="C116" s="411">
        <v>59</v>
      </c>
      <c r="D116" s="503" t="s">
        <v>529</v>
      </c>
      <c r="E116" s="504"/>
      <c r="F116" s="37">
        <v>0</v>
      </c>
      <c r="G116" s="37">
        <v>0</v>
      </c>
      <c r="H116" s="37">
        <v>0</v>
      </c>
      <c r="I116" s="37">
        <v>0</v>
      </c>
      <c r="J116" s="37">
        <v>0</v>
      </c>
      <c r="K116" s="37">
        <v>0</v>
      </c>
      <c r="L116" s="38"/>
      <c r="M116" s="224"/>
      <c r="N116" s="240"/>
    </row>
    <row r="117" spans="2:14" ht="15" customHeight="1">
      <c r="B117" s="212"/>
      <c r="C117" s="19"/>
      <c r="D117" s="30"/>
      <c r="E117" s="6"/>
      <c r="F117" s="335"/>
      <c r="G117" s="233"/>
      <c r="H117" s="233"/>
      <c r="I117" s="233"/>
      <c r="J117" s="233"/>
      <c r="K117" s="223"/>
      <c r="L117" s="236"/>
      <c r="M117" s="224"/>
      <c r="N117" s="240"/>
    </row>
    <row r="118" spans="2:14" ht="15" customHeight="1">
      <c r="B118" s="212"/>
      <c r="C118" s="19"/>
      <c r="D118" s="514" t="s">
        <v>41</v>
      </c>
      <c r="E118" s="522"/>
      <c r="F118" s="293">
        <f aca="true" t="shared" si="12" ref="F118:K118">SUM(F115:F116)</f>
        <v>0</v>
      </c>
      <c r="G118" s="293">
        <f t="shared" si="12"/>
        <v>0</v>
      </c>
      <c r="H118" s="293">
        <f t="shared" si="12"/>
        <v>0</v>
      </c>
      <c r="I118" s="293">
        <f t="shared" si="12"/>
        <v>0</v>
      </c>
      <c r="J118" s="293">
        <f t="shared" si="12"/>
        <v>0</v>
      </c>
      <c r="K118" s="293">
        <f t="shared" si="12"/>
        <v>0</v>
      </c>
      <c r="L118" s="290"/>
      <c r="M118" s="224"/>
      <c r="N118" s="232"/>
    </row>
    <row r="119" spans="2:14" ht="15" customHeight="1">
      <c r="B119" s="212"/>
      <c r="C119" s="19"/>
      <c r="D119" s="31"/>
      <c r="E119" s="241"/>
      <c r="F119" s="334"/>
      <c r="G119" s="6"/>
      <c r="H119" s="6"/>
      <c r="I119" s="6"/>
      <c r="J119" s="6"/>
      <c r="K119" s="235"/>
      <c r="L119" s="224"/>
      <c r="M119" s="224"/>
      <c r="N119" s="232"/>
    </row>
    <row r="120" spans="2:14" ht="15" customHeight="1">
      <c r="B120" s="212"/>
      <c r="C120" s="19"/>
      <c r="D120" s="529" t="s">
        <v>530</v>
      </c>
      <c r="E120" s="530"/>
      <c r="F120" s="238"/>
      <c r="G120" s="442"/>
      <c r="H120" s="441"/>
      <c r="I120" s="441"/>
      <c r="J120" s="441"/>
      <c r="K120" s="441"/>
      <c r="L120" s="443"/>
      <c r="M120" s="253"/>
      <c r="N120" s="232"/>
    </row>
    <row r="121" spans="2:14" ht="15" customHeight="1">
      <c r="B121" s="212"/>
      <c r="C121" s="411">
        <v>60</v>
      </c>
      <c r="D121" s="505" t="s">
        <v>42</v>
      </c>
      <c r="E121" s="506"/>
      <c r="F121" s="37">
        <v>28040</v>
      </c>
      <c r="G121" s="37">
        <v>29442</v>
      </c>
      <c r="H121" s="37">
        <v>30914.1</v>
      </c>
      <c r="I121" s="37">
        <v>32459.81</v>
      </c>
      <c r="J121" s="37">
        <v>34082.8</v>
      </c>
      <c r="K121" s="37">
        <v>35786.94</v>
      </c>
      <c r="L121" s="38" t="s">
        <v>470</v>
      </c>
      <c r="M121" s="224"/>
      <c r="N121" s="232"/>
    </row>
    <row r="122" spans="2:14" ht="15" customHeight="1">
      <c r="B122" s="212"/>
      <c r="C122" s="411">
        <v>61</v>
      </c>
      <c r="D122" s="505" t="s">
        <v>5</v>
      </c>
      <c r="E122" s="506"/>
      <c r="F122" s="37">
        <v>1000</v>
      </c>
      <c r="G122" s="37">
        <v>1000</v>
      </c>
      <c r="H122" s="37">
        <v>1000</v>
      </c>
      <c r="I122" s="37">
        <v>1000</v>
      </c>
      <c r="J122" s="37">
        <v>1000</v>
      </c>
      <c r="K122" s="37">
        <v>1000</v>
      </c>
      <c r="L122" s="38"/>
      <c r="M122" s="224"/>
      <c r="N122" s="232"/>
    </row>
    <row r="123" spans="2:14" ht="15" customHeight="1">
      <c r="B123" s="212"/>
      <c r="C123" s="411">
        <v>62</v>
      </c>
      <c r="D123" s="505" t="s">
        <v>43</v>
      </c>
      <c r="E123" s="506"/>
      <c r="F123" s="37">
        <v>10000</v>
      </c>
      <c r="G123" s="37">
        <v>10000</v>
      </c>
      <c r="H123" s="37">
        <v>10000</v>
      </c>
      <c r="I123" s="37">
        <v>10000</v>
      </c>
      <c r="J123" s="37">
        <v>10000</v>
      </c>
      <c r="K123" s="37">
        <v>10000</v>
      </c>
      <c r="L123" s="38" t="s">
        <v>471</v>
      </c>
      <c r="M123" s="224"/>
      <c r="N123" s="232"/>
    </row>
    <row r="124" spans="2:14" ht="15" customHeight="1">
      <c r="B124" s="212"/>
      <c r="C124" s="411">
        <v>63</v>
      </c>
      <c r="D124" s="505" t="s">
        <v>44</v>
      </c>
      <c r="E124" s="506"/>
      <c r="F124" s="37">
        <f>20000+3310</f>
        <v>23310</v>
      </c>
      <c r="G124" s="37">
        <v>20000</v>
      </c>
      <c r="H124" s="37">
        <v>15000</v>
      </c>
      <c r="I124" s="37">
        <v>15000</v>
      </c>
      <c r="J124" s="37">
        <v>15000</v>
      </c>
      <c r="K124" s="37">
        <v>15000</v>
      </c>
      <c r="L124" s="38"/>
      <c r="M124" s="224"/>
      <c r="N124" s="232"/>
    </row>
    <row r="125" spans="2:14" ht="15" customHeight="1">
      <c r="B125" s="212"/>
      <c r="C125" s="411">
        <v>64</v>
      </c>
      <c r="D125" s="505" t="s">
        <v>531</v>
      </c>
      <c r="E125" s="506"/>
      <c r="F125" s="37">
        <v>20400</v>
      </c>
      <c r="G125" s="37">
        <v>20808</v>
      </c>
      <c r="H125" s="37">
        <v>21224.16</v>
      </c>
      <c r="I125" s="37">
        <v>21648.64</v>
      </c>
      <c r="J125" s="37">
        <v>22081.62</v>
      </c>
      <c r="K125" s="37">
        <v>22523.25</v>
      </c>
      <c r="L125" s="38" t="s">
        <v>472</v>
      </c>
      <c r="M125" s="224"/>
      <c r="N125" s="232"/>
    </row>
    <row r="126" spans="2:14" ht="15" customHeight="1">
      <c r="B126" s="212"/>
      <c r="C126" s="411">
        <v>65</v>
      </c>
      <c r="D126" s="505" t="s">
        <v>532</v>
      </c>
      <c r="E126" s="506"/>
      <c r="F126" s="37">
        <v>28800</v>
      </c>
      <c r="G126" s="331">
        <v>30240</v>
      </c>
      <c r="H126" s="331">
        <v>31752</v>
      </c>
      <c r="I126" s="331">
        <v>33339.6</v>
      </c>
      <c r="J126" s="331">
        <v>35006.58</v>
      </c>
      <c r="K126" s="331">
        <v>36756.91</v>
      </c>
      <c r="L126" s="38" t="s">
        <v>603</v>
      </c>
      <c r="M126" s="224"/>
      <c r="N126" s="232"/>
    </row>
    <row r="127" spans="2:14" ht="15" customHeight="1">
      <c r="B127" s="212"/>
      <c r="C127" s="411">
        <v>66</v>
      </c>
      <c r="D127" s="505" t="s">
        <v>6</v>
      </c>
      <c r="E127" s="506"/>
      <c r="F127" s="37">
        <v>0</v>
      </c>
      <c r="G127" s="37">
        <v>0</v>
      </c>
      <c r="H127" s="37">
        <v>0</v>
      </c>
      <c r="I127" s="37">
        <v>0</v>
      </c>
      <c r="J127" s="37">
        <v>0</v>
      </c>
      <c r="K127" s="37">
        <v>0</v>
      </c>
      <c r="L127" s="38"/>
      <c r="M127" s="224"/>
      <c r="N127" s="232"/>
    </row>
    <row r="128" spans="2:14" ht="15" customHeight="1">
      <c r="B128" s="212"/>
      <c r="C128" s="411">
        <v>67</v>
      </c>
      <c r="D128" s="505" t="s">
        <v>533</v>
      </c>
      <c r="E128" s="506"/>
      <c r="F128" s="37">
        <v>1000</v>
      </c>
      <c r="G128" s="37">
        <v>1000</v>
      </c>
      <c r="H128" s="37">
        <v>1000</v>
      </c>
      <c r="I128" s="37">
        <v>1000</v>
      </c>
      <c r="J128" s="37">
        <v>1000</v>
      </c>
      <c r="K128" s="37">
        <v>1000</v>
      </c>
      <c r="L128" s="38"/>
      <c r="M128" s="224"/>
      <c r="N128" s="232"/>
    </row>
    <row r="129" spans="2:14" ht="15" customHeight="1">
      <c r="B129" s="212"/>
      <c r="C129" s="411">
        <v>68</v>
      </c>
      <c r="D129" s="505" t="s">
        <v>45</v>
      </c>
      <c r="E129" s="506"/>
      <c r="F129" s="37">
        <v>58685</v>
      </c>
      <c r="G129" s="37">
        <v>58684.75</v>
      </c>
      <c r="H129" s="37">
        <v>60000</v>
      </c>
      <c r="I129" s="37">
        <v>60000</v>
      </c>
      <c r="J129" s="37">
        <v>60000</v>
      </c>
      <c r="K129" s="37">
        <v>60000</v>
      </c>
      <c r="L129" s="38" t="s">
        <v>474</v>
      </c>
      <c r="M129" s="224"/>
      <c r="N129" s="232"/>
    </row>
    <row r="130" spans="2:14" ht="15" customHeight="1">
      <c r="B130" s="212"/>
      <c r="C130" s="411">
        <v>69</v>
      </c>
      <c r="D130" s="505" t="s">
        <v>534</v>
      </c>
      <c r="E130" s="506"/>
      <c r="F130" s="37">
        <v>16746</v>
      </c>
      <c r="G130" s="37">
        <v>17080.86</v>
      </c>
      <c r="H130" s="37">
        <v>18000</v>
      </c>
      <c r="I130" s="37">
        <v>18000</v>
      </c>
      <c r="J130" s="37">
        <v>18000</v>
      </c>
      <c r="K130" s="37">
        <v>18000</v>
      </c>
      <c r="L130" s="38" t="s">
        <v>475</v>
      </c>
      <c r="M130" s="224"/>
      <c r="N130" s="232"/>
    </row>
    <row r="131" spans="2:14" ht="15" customHeight="1">
      <c r="B131" s="212"/>
      <c r="C131" s="411">
        <v>70</v>
      </c>
      <c r="D131" s="505" t="s">
        <v>46</v>
      </c>
      <c r="E131" s="506"/>
      <c r="F131" s="37">
        <v>217106</v>
      </c>
      <c r="G131" s="37">
        <v>220992.38</v>
      </c>
      <c r="H131" s="37">
        <v>209685.8</v>
      </c>
      <c r="I131" s="37">
        <v>208348.15</v>
      </c>
      <c r="J131" s="37">
        <v>210867.71</v>
      </c>
      <c r="K131" s="37">
        <v>212076.88</v>
      </c>
      <c r="L131" s="38" t="s">
        <v>476</v>
      </c>
      <c r="M131" s="224"/>
      <c r="N131" s="232"/>
    </row>
    <row r="132" spans="2:14" ht="15" customHeight="1">
      <c r="B132" s="212"/>
      <c r="C132" s="411">
        <v>71</v>
      </c>
      <c r="D132" s="505" t="s">
        <v>535</v>
      </c>
      <c r="E132" s="506"/>
      <c r="F132" s="37">
        <v>0</v>
      </c>
      <c r="G132" s="37">
        <v>252604.17</v>
      </c>
      <c r="H132" s="37">
        <v>270833.33</v>
      </c>
      <c r="I132" s="37">
        <v>294270.83</v>
      </c>
      <c r="J132" s="37">
        <v>333333.33</v>
      </c>
      <c r="K132" s="37">
        <v>367187.5</v>
      </c>
      <c r="L132" s="38" t="s">
        <v>479</v>
      </c>
      <c r="M132" s="224"/>
      <c r="N132" s="232"/>
    </row>
    <row r="133" spans="2:14" ht="15" customHeight="1">
      <c r="B133" s="212"/>
      <c r="C133" s="411">
        <v>72</v>
      </c>
      <c r="D133" s="505" t="s">
        <v>536</v>
      </c>
      <c r="E133" s="506"/>
      <c r="F133" s="37">
        <v>0</v>
      </c>
      <c r="G133" s="37">
        <v>0</v>
      </c>
      <c r="H133" s="37">
        <v>0</v>
      </c>
      <c r="I133" s="37">
        <v>0</v>
      </c>
      <c r="J133" s="37">
        <v>0</v>
      </c>
      <c r="K133" s="37">
        <v>0</v>
      </c>
      <c r="L133" s="38"/>
      <c r="M133" s="224"/>
      <c r="N133" s="232"/>
    </row>
    <row r="134" spans="2:14" ht="15" customHeight="1">
      <c r="B134" s="212"/>
      <c r="C134" s="411">
        <v>73</v>
      </c>
      <c r="D134" s="503" t="s">
        <v>537</v>
      </c>
      <c r="E134" s="504"/>
      <c r="F134" s="37">
        <v>85302</v>
      </c>
      <c r="G134" s="37">
        <v>71145</v>
      </c>
      <c r="H134" s="37">
        <v>72567.9</v>
      </c>
      <c r="I134" s="37">
        <v>74019.26</v>
      </c>
      <c r="J134" s="37">
        <v>75499.64</v>
      </c>
      <c r="K134" s="37">
        <v>77009.64</v>
      </c>
      <c r="L134" s="448" t="s">
        <v>588</v>
      </c>
      <c r="M134" s="224"/>
      <c r="N134" s="232"/>
    </row>
    <row r="135" spans="2:14" ht="15" customHeight="1">
      <c r="B135" s="212"/>
      <c r="C135" s="19"/>
      <c r="D135" s="30"/>
      <c r="E135" s="6"/>
      <c r="F135" s="335"/>
      <c r="G135" s="233"/>
      <c r="H135" s="233"/>
      <c r="I135" s="233"/>
      <c r="J135" s="233"/>
      <c r="K135" s="223"/>
      <c r="L135" s="236"/>
      <c r="M135" s="224"/>
      <c r="N135" s="232"/>
    </row>
    <row r="136" spans="2:14" ht="15" customHeight="1">
      <c r="B136" s="212"/>
      <c r="C136" s="19"/>
      <c r="D136" s="514" t="s">
        <v>538</v>
      </c>
      <c r="E136" s="522"/>
      <c r="F136" s="293">
        <f aca="true" t="shared" si="13" ref="F136:K136">SUM(F121:F134)</f>
        <v>490389</v>
      </c>
      <c r="G136" s="293">
        <f t="shared" si="13"/>
        <v>732997.16</v>
      </c>
      <c r="H136" s="293">
        <f t="shared" si="13"/>
        <v>741977.29</v>
      </c>
      <c r="I136" s="293">
        <f t="shared" si="13"/>
        <v>769086.29</v>
      </c>
      <c r="J136" s="293">
        <f t="shared" si="13"/>
        <v>815871.68</v>
      </c>
      <c r="K136" s="293">
        <f t="shared" si="13"/>
        <v>856341.12</v>
      </c>
      <c r="L136" s="447"/>
      <c r="M136" s="229"/>
      <c r="N136" s="232"/>
    </row>
    <row r="137" spans="2:14" ht="15" customHeight="1">
      <c r="B137" s="212"/>
      <c r="C137" s="19"/>
      <c r="D137" s="31"/>
      <c r="E137" s="241"/>
      <c r="F137" s="5"/>
      <c r="G137" s="5"/>
      <c r="H137" s="5"/>
      <c r="I137" s="5"/>
      <c r="J137" s="5"/>
      <c r="K137" s="254"/>
      <c r="L137" s="229"/>
      <c r="M137" s="229"/>
      <c r="N137" s="215"/>
    </row>
    <row r="138" spans="2:14" ht="15" customHeight="1">
      <c r="B138" s="212"/>
      <c r="C138" s="19"/>
      <c r="D138" s="529" t="s">
        <v>575</v>
      </c>
      <c r="E138" s="530"/>
      <c r="F138" s="336"/>
      <c r="G138" s="255"/>
      <c r="H138" s="256"/>
      <c r="I138" s="256"/>
      <c r="J138" s="256"/>
      <c r="K138" s="256"/>
      <c r="L138" s="443"/>
      <c r="M138" s="253"/>
      <c r="N138" s="215"/>
    </row>
    <row r="139" spans="2:14" ht="15" customHeight="1">
      <c r="B139" s="212"/>
      <c r="C139" s="411">
        <v>74</v>
      </c>
      <c r="D139" s="503" t="s">
        <v>576</v>
      </c>
      <c r="E139" s="504"/>
      <c r="F139" s="37">
        <v>25283</v>
      </c>
      <c r="G139" s="331">
        <v>20098</v>
      </c>
      <c r="H139" s="331">
        <v>21126</v>
      </c>
      <c r="I139" s="331">
        <v>62207</v>
      </c>
      <c r="J139" s="331">
        <v>103343</v>
      </c>
      <c r="K139" s="331">
        <v>144537</v>
      </c>
      <c r="L139" s="38" t="s">
        <v>604</v>
      </c>
      <c r="M139" s="224"/>
      <c r="N139" s="215"/>
    </row>
    <row r="140" spans="2:14" ht="15" customHeight="1">
      <c r="B140" s="212"/>
      <c r="C140" s="411">
        <v>75</v>
      </c>
      <c r="D140" s="503" t="s">
        <v>539</v>
      </c>
      <c r="E140" s="504"/>
      <c r="F140" s="37">
        <v>0</v>
      </c>
      <c r="G140" s="37">
        <v>0</v>
      </c>
      <c r="H140" s="37">
        <v>0</v>
      </c>
      <c r="I140" s="37">
        <v>0</v>
      </c>
      <c r="J140" s="37">
        <v>0</v>
      </c>
      <c r="K140" s="37">
        <v>0</v>
      </c>
      <c r="L140" s="38"/>
      <c r="M140" s="224"/>
      <c r="N140" s="215"/>
    </row>
    <row r="141" spans="2:14" ht="15" customHeight="1">
      <c r="B141" s="212"/>
      <c r="C141" s="411">
        <v>76</v>
      </c>
      <c r="D141" s="503" t="s">
        <v>540</v>
      </c>
      <c r="E141" s="504"/>
      <c r="F141" s="37">
        <v>109792</v>
      </c>
      <c r="G141" s="331">
        <v>102713.99</v>
      </c>
      <c r="H141" s="331">
        <v>103339.86</v>
      </c>
      <c r="I141" s="331">
        <v>103432.88</v>
      </c>
      <c r="J141" s="331">
        <v>103528.48</v>
      </c>
      <c r="K141" s="331">
        <v>103626.74</v>
      </c>
      <c r="L141" s="38" t="s">
        <v>605</v>
      </c>
      <c r="M141" s="224"/>
      <c r="N141" s="215"/>
    </row>
    <row r="142" spans="2:14" ht="15" customHeight="1">
      <c r="B142" s="212"/>
      <c r="C142" s="411">
        <v>77</v>
      </c>
      <c r="D142" s="503" t="s">
        <v>541</v>
      </c>
      <c r="E142" s="504"/>
      <c r="F142" s="37">
        <v>47000</v>
      </c>
      <c r="G142" s="331">
        <v>47000</v>
      </c>
      <c r="H142" s="331">
        <v>47000</v>
      </c>
      <c r="I142" s="331">
        <v>47000</v>
      </c>
      <c r="J142" s="331">
        <v>47000</v>
      </c>
      <c r="K142" s="331">
        <v>47000</v>
      </c>
      <c r="L142" s="38" t="s">
        <v>606</v>
      </c>
      <c r="M142" s="224"/>
      <c r="N142" s="215"/>
    </row>
    <row r="143" spans="2:14" ht="15" customHeight="1">
      <c r="B143" s="212"/>
      <c r="C143" s="411">
        <v>78</v>
      </c>
      <c r="D143" s="503" t="s">
        <v>542</v>
      </c>
      <c r="E143" s="504"/>
      <c r="F143" s="37">
        <v>28886</v>
      </c>
      <c r="G143" s="331">
        <v>20530</v>
      </c>
      <c r="H143" s="331">
        <v>19502</v>
      </c>
      <c r="I143" s="331">
        <v>18421</v>
      </c>
      <c r="J143" s="331">
        <v>17285</v>
      </c>
      <c r="K143" s="331">
        <v>16091</v>
      </c>
      <c r="L143" s="38" t="s">
        <v>607</v>
      </c>
      <c r="M143" s="224"/>
      <c r="N143" s="215"/>
    </row>
    <row r="144" spans="2:14" ht="15" customHeight="1">
      <c r="B144" s="212"/>
      <c r="C144" s="411">
        <v>79</v>
      </c>
      <c r="D144" s="503" t="s">
        <v>543</v>
      </c>
      <c r="E144" s="504"/>
      <c r="F144" s="37">
        <v>13889</v>
      </c>
      <c r="G144" s="331">
        <v>19023.66</v>
      </c>
      <c r="H144" s="331">
        <v>9258.48</v>
      </c>
      <c r="I144" s="331">
        <v>8155.47</v>
      </c>
      <c r="J144" s="331">
        <v>7069.86</v>
      </c>
      <c r="K144" s="331">
        <v>5971.6</v>
      </c>
      <c r="L144" s="38" t="s">
        <v>608</v>
      </c>
      <c r="M144" s="224"/>
      <c r="N144" s="215"/>
    </row>
    <row r="145" spans="2:14" ht="15" customHeight="1">
      <c r="B145" s="212"/>
      <c r="C145" s="411">
        <v>80</v>
      </c>
      <c r="D145" s="503" t="s">
        <v>577</v>
      </c>
      <c r="E145" s="504"/>
      <c r="F145" s="37">
        <v>134333.33</v>
      </c>
      <c r="G145" s="37">
        <v>134333.33</v>
      </c>
      <c r="H145" s="37">
        <v>150000</v>
      </c>
      <c r="I145" s="37">
        <v>150000</v>
      </c>
      <c r="J145" s="37">
        <v>150000</v>
      </c>
      <c r="K145" s="37">
        <v>150000</v>
      </c>
      <c r="L145" s="38"/>
      <c r="M145" s="224"/>
      <c r="N145" s="215"/>
    </row>
    <row r="146" spans="2:14" ht="15" customHeight="1">
      <c r="B146" s="212"/>
      <c r="C146" s="411">
        <v>81</v>
      </c>
      <c r="D146" s="503" t="s">
        <v>578</v>
      </c>
      <c r="E146" s="504"/>
      <c r="F146" s="37">
        <v>19200</v>
      </c>
      <c r="G146" s="331">
        <v>20160</v>
      </c>
      <c r="H146" s="331">
        <v>21168</v>
      </c>
      <c r="I146" s="331">
        <v>22226.4</v>
      </c>
      <c r="J146" s="331">
        <v>23337.72</v>
      </c>
      <c r="K146" s="331">
        <v>24504.61</v>
      </c>
      <c r="L146" s="38"/>
      <c r="M146" s="224"/>
      <c r="N146" s="215"/>
    </row>
    <row r="147" spans="2:14" ht="15" customHeight="1">
      <c r="B147" s="212"/>
      <c r="C147" s="411">
        <v>82</v>
      </c>
      <c r="D147" s="503" t="s">
        <v>572</v>
      </c>
      <c r="E147" s="504"/>
      <c r="F147" s="37">
        <v>0</v>
      </c>
      <c r="G147" s="37">
        <v>0</v>
      </c>
      <c r="H147" s="37">
        <v>0</v>
      </c>
      <c r="I147" s="37">
        <v>0</v>
      </c>
      <c r="J147" s="37">
        <v>0</v>
      </c>
      <c r="K147" s="37">
        <v>0</v>
      </c>
      <c r="L147" s="38"/>
      <c r="M147" s="229"/>
      <c r="N147" s="215"/>
    </row>
    <row r="148" spans="2:14" ht="15" customHeight="1">
      <c r="B148" s="212"/>
      <c r="C148" s="411">
        <v>83</v>
      </c>
      <c r="D148" s="503" t="s">
        <v>579</v>
      </c>
      <c r="E148" s="504"/>
      <c r="F148" s="37">
        <v>72000</v>
      </c>
      <c r="G148" s="37">
        <v>72000</v>
      </c>
      <c r="H148" s="37">
        <v>75600</v>
      </c>
      <c r="I148" s="37">
        <v>79380</v>
      </c>
      <c r="J148" s="37">
        <v>83349</v>
      </c>
      <c r="K148" s="37">
        <v>87516.45</v>
      </c>
      <c r="L148" s="38" t="s">
        <v>473</v>
      </c>
      <c r="M148" s="229"/>
      <c r="N148" s="215"/>
    </row>
    <row r="149" spans="2:14" ht="15" customHeight="1">
      <c r="B149" s="212"/>
      <c r="C149" s="411">
        <v>84</v>
      </c>
      <c r="D149" s="503" t="s">
        <v>580</v>
      </c>
      <c r="E149" s="504"/>
      <c r="F149" s="37">
        <v>13296</v>
      </c>
      <c r="G149" s="37">
        <v>13296.2</v>
      </c>
      <c r="H149" s="37">
        <v>13562.12</v>
      </c>
      <c r="I149" s="37">
        <v>13833.37</v>
      </c>
      <c r="J149" s="37">
        <v>14110.03</v>
      </c>
      <c r="K149" s="37">
        <v>14392.23</v>
      </c>
      <c r="L149" s="38" t="s">
        <v>472</v>
      </c>
      <c r="M149" s="229"/>
      <c r="N149" s="215"/>
    </row>
    <row r="150" spans="2:14" ht="15" customHeight="1">
      <c r="B150" s="212"/>
      <c r="C150" s="411">
        <v>85</v>
      </c>
      <c r="D150" s="503" t="s">
        <v>581</v>
      </c>
      <c r="E150" s="504"/>
      <c r="F150" s="37">
        <v>15000</v>
      </c>
      <c r="G150" s="37">
        <v>15000</v>
      </c>
      <c r="H150" s="37">
        <v>15000</v>
      </c>
      <c r="I150" s="37">
        <v>15000</v>
      </c>
      <c r="J150" s="37">
        <v>15000</v>
      </c>
      <c r="K150" s="37">
        <v>15000</v>
      </c>
      <c r="L150" s="38"/>
      <c r="M150" s="229"/>
      <c r="N150" s="215"/>
    </row>
    <row r="151" spans="2:14" ht="15" customHeight="1">
      <c r="B151" s="212"/>
      <c r="C151" s="411">
        <v>86</v>
      </c>
      <c r="D151" s="503" t="s">
        <v>582</v>
      </c>
      <c r="E151" s="504"/>
      <c r="F151" s="37">
        <v>12000</v>
      </c>
      <c r="G151" s="37">
        <v>0</v>
      </c>
      <c r="H151" s="37">
        <v>0</v>
      </c>
      <c r="I151" s="37">
        <v>0</v>
      </c>
      <c r="J151" s="37">
        <v>0</v>
      </c>
      <c r="K151" s="37">
        <v>0</v>
      </c>
      <c r="L151" s="38"/>
      <c r="M151" s="229"/>
      <c r="N151" s="215"/>
    </row>
    <row r="152" spans="2:14" ht="15" customHeight="1">
      <c r="B152" s="212"/>
      <c r="C152" s="411">
        <v>87</v>
      </c>
      <c r="D152" s="503" t="s">
        <v>583</v>
      </c>
      <c r="E152" s="504"/>
      <c r="F152" s="37">
        <v>5976</v>
      </c>
      <c r="G152" s="37">
        <v>5976</v>
      </c>
      <c r="H152" s="37">
        <v>6095.52</v>
      </c>
      <c r="I152" s="37">
        <v>6217.43</v>
      </c>
      <c r="J152" s="37">
        <v>6341.78</v>
      </c>
      <c r="K152" s="37">
        <v>6468.61</v>
      </c>
      <c r="L152" s="38" t="s">
        <v>472</v>
      </c>
      <c r="M152" s="229"/>
      <c r="N152" s="215"/>
    </row>
    <row r="153" spans="2:14" ht="15" customHeight="1">
      <c r="B153" s="212"/>
      <c r="C153" s="411">
        <v>88</v>
      </c>
      <c r="D153" s="503" t="s">
        <v>584</v>
      </c>
      <c r="E153" s="504"/>
      <c r="F153" s="37">
        <v>1572</v>
      </c>
      <c r="G153" s="37">
        <v>1572</v>
      </c>
      <c r="H153" s="37">
        <v>2000</v>
      </c>
      <c r="I153" s="37">
        <v>2000</v>
      </c>
      <c r="J153" s="37">
        <v>2000</v>
      </c>
      <c r="K153" s="37">
        <v>2000</v>
      </c>
      <c r="L153" s="38" t="s">
        <v>477</v>
      </c>
      <c r="M153" s="229"/>
      <c r="N153" s="215"/>
    </row>
    <row r="154" spans="2:14" ht="15" customHeight="1">
      <c r="B154" s="212"/>
      <c r="C154" s="411">
        <v>89</v>
      </c>
      <c r="D154" s="503" t="s">
        <v>544</v>
      </c>
      <c r="E154" s="504"/>
      <c r="F154" s="37">
        <v>30500</v>
      </c>
      <c r="G154" s="37"/>
      <c r="H154" s="37"/>
      <c r="I154" s="37"/>
      <c r="J154" s="37"/>
      <c r="K154" s="37"/>
      <c r="L154" s="38" t="s">
        <v>587</v>
      </c>
      <c r="M154" s="224"/>
      <c r="N154" s="215"/>
    </row>
    <row r="155" spans="2:14" ht="15" customHeight="1">
      <c r="B155" s="212"/>
      <c r="C155" s="19"/>
      <c r="D155" s="30"/>
      <c r="E155" s="6"/>
      <c r="F155" s="335"/>
      <c r="G155" s="233"/>
      <c r="H155" s="233"/>
      <c r="I155" s="233"/>
      <c r="J155" s="233"/>
      <c r="K155" s="223"/>
      <c r="L155" s="242"/>
      <c r="M155" s="229"/>
      <c r="N155" s="215"/>
    </row>
    <row r="156" spans="2:14" ht="15" customHeight="1">
      <c r="B156" s="212"/>
      <c r="C156" s="19"/>
      <c r="D156" s="514" t="s">
        <v>47</v>
      </c>
      <c r="E156" s="522"/>
      <c r="F156" s="293">
        <f aca="true" t="shared" si="14" ref="F156:K156">SUM(F139:F154)</f>
        <v>528727.33</v>
      </c>
      <c r="G156" s="293">
        <f t="shared" si="14"/>
        <v>471703.18</v>
      </c>
      <c r="H156" s="293">
        <f t="shared" si="14"/>
        <v>483651.98</v>
      </c>
      <c r="I156" s="293">
        <f t="shared" si="14"/>
        <v>527873.55</v>
      </c>
      <c r="J156" s="293">
        <f t="shared" si="14"/>
        <v>572364.87</v>
      </c>
      <c r="K156" s="293">
        <f t="shared" si="14"/>
        <v>617108.2399999999</v>
      </c>
      <c r="L156" s="447"/>
      <c r="M156" s="229"/>
      <c r="N156" s="215"/>
    </row>
    <row r="157" spans="2:14" ht="15" customHeight="1">
      <c r="B157" s="212"/>
      <c r="C157" s="19"/>
      <c r="D157" s="31"/>
      <c r="E157" s="241"/>
      <c r="F157" s="334"/>
      <c r="G157" s="6"/>
      <c r="H157" s="6"/>
      <c r="I157" s="6"/>
      <c r="J157" s="6"/>
      <c r="K157" s="235"/>
      <c r="L157" s="229"/>
      <c r="M157" s="229"/>
      <c r="N157" s="215"/>
    </row>
    <row r="158" spans="2:14" ht="15" customHeight="1">
      <c r="B158" s="212"/>
      <c r="C158" s="19"/>
      <c r="D158" s="518" t="s">
        <v>92</v>
      </c>
      <c r="E158" s="519"/>
      <c r="F158" s="238"/>
      <c r="G158" s="238"/>
      <c r="H158" s="238"/>
      <c r="I158" s="238"/>
      <c r="J158" s="238"/>
      <c r="K158" s="239"/>
      <c r="L158" s="229"/>
      <c r="M158" s="229"/>
      <c r="N158" s="215"/>
    </row>
    <row r="159" spans="2:14" ht="15" customHeight="1">
      <c r="B159" s="212"/>
      <c r="C159" s="411">
        <v>90</v>
      </c>
      <c r="D159" s="533" t="s">
        <v>545</v>
      </c>
      <c r="E159" s="506"/>
      <c r="F159" s="227">
        <f>'2. Enrollment Projections'!E45*0.005</f>
        <v>16285.776375</v>
      </c>
      <c r="G159" s="227">
        <f>'2. Enrollment Projections'!F46*0.005</f>
        <v>17951.367140625</v>
      </c>
      <c r="H159" s="227">
        <f>'2. Enrollment Projections'!G46*0.005</f>
        <v>19652.022975</v>
      </c>
      <c r="I159" s="227">
        <f>'2. Enrollment Projections'!H46*0.005</f>
        <v>21352.678809375</v>
      </c>
      <c r="J159" s="227">
        <f>'2. Enrollment Projections'!I46*0.005</f>
        <v>24685.808399999998</v>
      </c>
      <c r="K159" s="227">
        <f>'2. Enrollment Projections'!J46*0.005</f>
        <v>27192.960815625</v>
      </c>
      <c r="L159" s="291"/>
      <c r="M159" s="224"/>
      <c r="N159" s="215"/>
    </row>
    <row r="160" spans="2:14" ht="15" customHeight="1">
      <c r="B160" s="212"/>
      <c r="C160" s="411">
        <v>91</v>
      </c>
      <c r="D160" s="531" t="s">
        <v>573</v>
      </c>
      <c r="E160" s="532"/>
      <c r="F160" s="37">
        <v>0</v>
      </c>
      <c r="G160" s="37">
        <v>0</v>
      </c>
      <c r="H160" s="37">
        <v>0</v>
      </c>
      <c r="I160" s="37">
        <v>0</v>
      </c>
      <c r="J160" s="37">
        <v>0</v>
      </c>
      <c r="K160" s="37">
        <v>0</v>
      </c>
      <c r="L160" s="38"/>
      <c r="M160" s="224"/>
      <c r="N160" s="215"/>
    </row>
    <row r="161" spans="2:14" ht="15" customHeight="1">
      <c r="B161" s="212"/>
      <c r="C161" s="411">
        <v>92</v>
      </c>
      <c r="D161" s="505" t="s">
        <v>48</v>
      </c>
      <c r="E161" s="506"/>
      <c r="F161" s="37">
        <v>6500</v>
      </c>
      <c r="G161" s="331">
        <v>6500</v>
      </c>
      <c r="H161" s="331">
        <v>6500</v>
      </c>
      <c r="I161" s="331">
        <v>6500</v>
      </c>
      <c r="J161" s="331">
        <v>6500</v>
      </c>
      <c r="K161" s="331">
        <v>6500</v>
      </c>
      <c r="L161" s="290"/>
      <c r="M161" s="224"/>
      <c r="N161" s="215"/>
    </row>
    <row r="162" spans="2:14" ht="15" customHeight="1">
      <c r="B162" s="212"/>
      <c r="C162" s="411">
        <v>93</v>
      </c>
      <c r="D162" s="533" t="s">
        <v>546</v>
      </c>
      <c r="E162" s="534"/>
      <c r="F162" s="37">
        <v>0</v>
      </c>
      <c r="G162" s="37">
        <v>0</v>
      </c>
      <c r="H162" s="37">
        <v>0</v>
      </c>
      <c r="I162" s="37">
        <v>0</v>
      </c>
      <c r="J162" s="37">
        <v>0</v>
      </c>
      <c r="K162" s="37">
        <v>0</v>
      </c>
      <c r="L162" s="290"/>
      <c r="M162" s="224"/>
      <c r="N162" s="215"/>
    </row>
    <row r="163" spans="2:14" ht="15" customHeight="1">
      <c r="B163" s="212"/>
      <c r="C163" s="411">
        <v>94</v>
      </c>
      <c r="D163" s="533" t="s">
        <v>547</v>
      </c>
      <c r="E163" s="534"/>
      <c r="F163" s="37">
        <v>30000</v>
      </c>
      <c r="G163" s="37">
        <v>30000</v>
      </c>
      <c r="H163" s="37">
        <v>30000</v>
      </c>
      <c r="I163" s="37">
        <v>30000</v>
      </c>
      <c r="J163" s="37">
        <v>30000</v>
      </c>
      <c r="K163" s="37">
        <v>30000</v>
      </c>
      <c r="L163" s="38" t="s">
        <v>586</v>
      </c>
      <c r="M163" s="224"/>
      <c r="N163" s="215"/>
    </row>
    <row r="164" spans="2:14" ht="15" customHeight="1">
      <c r="B164" s="212"/>
      <c r="C164" s="411"/>
      <c r="D164" s="420"/>
      <c r="E164" s="423"/>
      <c r="F164" s="422"/>
      <c r="G164" s="422"/>
      <c r="H164" s="422"/>
      <c r="I164" s="422"/>
      <c r="J164" s="422"/>
      <c r="K164" s="422"/>
      <c r="L164" s="236"/>
      <c r="M164" s="224"/>
      <c r="N164" s="215"/>
    </row>
    <row r="165" spans="2:15" ht="15" customHeight="1">
      <c r="B165" s="212"/>
      <c r="C165" s="19"/>
      <c r="D165" s="514" t="s">
        <v>49</v>
      </c>
      <c r="E165" s="522"/>
      <c r="F165" s="421">
        <f aca="true" t="shared" si="15" ref="F165:K165">SUM(F159:F162)</f>
        <v>22785.776375</v>
      </c>
      <c r="G165" s="421">
        <f t="shared" si="15"/>
        <v>24451.367140625</v>
      </c>
      <c r="H165" s="421">
        <f t="shared" si="15"/>
        <v>26152.022975</v>
      </c>
      <c r="I165" s="421">
        <f t="shared" si="15"/>
        <v>27852.678809375</v>
      </c>
      <c r="J165" s="421">
        <f t="shared" si="15"/>
        <v>31185.808399999998</v>
      </c>
      <c r="K165" s="421">
        <f t="shared" si="15"/>
        <v>33692.960815625</v>
      </c>
      <c r="L165" s="229"/>
      <c r="M165" s="229"/>
      <c r="N165" s="215"/>
      <c r="O165" s="321"/>
    </row>
    <row r="166" spans="2:14" ht="15" customHeight="1">
      <c r="B166" s="212"/>
      <c r="C166" s="19"/>
      <c r="D166" s="523"/>
      <c r="E166" s="524"/>
      <c r="F166" s="335"/>
      <c r="G166" s="233"/>
      <c r="H166" s="233"/>
      <c r="I166" s="233"/>
      <c r="J166" s="233"/>
      <c r="K166" s="223"/>
      <c r="L166" s="229"/>
      <c r="M166" s="229"/>
      <c r="N166" s="215"/>
    </row>
    <row r="167" spans="2:14" ht="15" customHeight="1">
      <c r="B167" s="212"/>
      <c r="C167" s="19"/>
      <c r="D167" s="514" t="s">
        <v>50</v>
      </c>
      <c r="E167" s="522"/>
      <c r="F167" s="234">
        <f aca="true" t="shared" si="16" ref="F167:K167">F94+F106+F112+F118+F136+F156+F165</f>
        <v>4704015.326375</v>
      </c>
      <c r="G167" s="234">
        <f t="shared" si="16"/>
        <v>4313205.358490624</v>
      </c>
      <c r="H167" s="234">
        <f t="shared" si="16"/>
        <v>4552121.11968</v>
      </c>
      <c r="I167" s="234">
        <f t="shared" si="16"/>
        <v>4910184.106864375</v>
      </c>
      <c r="J167" s="234">
        <f t="shared" si="16"/>
        <v>5404566.13888</v>
      </c>
      <c r="K167" s="234">
        <f t="shared" si="16"/>
        <v>5931049.553520625</v>
      </c>
      <c r="L167" s="229"/>
      <c r="M167" s="229"/>
      <c r="N167" s="215"/>
    </row>
    <row r="168" spans="2:14" ht="15" customHeight="1">
      <c r="B168" s="212"/>
      <c r="C168" s="19"/>
      <c r="D168" s="523"/>
      <c r="E168" s="524"/>
      <c r="F168" s="335"/>
      <c r="G168" s="233"/>
      <c r="H168" s="233"/>
      <c r="I168" s="233"/>
      <c r="J168" s="233"/>
      <c r="K168" s="223"/>
      <c r="L168" s="229"/>
      <c r="M168" s="229"/>
      <c r="N168" s="215"/>
    </row>
    <row r="169" spans="2:14" ht="15" customHeight="1">
      <c r="B169" s="212"/>
      <c r="C169" s="19"/>
      <c r="D169" s="514" t="s">
        <v>548</v>
      </c>
      <c r="E169" s="522"/>
      <c r="F169" s="293">
        <f aca="true" t="shared" si="17" ref="F169:K169">F51-F167</f>
        <v>284753.14862499945</v>
      </c>
      <c r="G169" s="293">
        <f t="shared" si="17"/>
        <v>541191.9796343753</v>
      </c>
      <c r="H169" s="293">
        <f t="shared" si="17"/>
        <v>691689.5953200003</v>
      </c>
      <c r="I169" s="293">
        <f t="shared" si="17"/>
        <v>736804.0550106252</v>
      </c>
      <c r="J169" s="293">
        <f t="shared" si="17"/>
        <v>1014152.6611199994</v>
      </c>
      <c r="K169" s="293">
        <f t="shared" si="17"/>
        <v>1080684.9696043748</v>
      </c>
      <c r="L169" s="229"/>
      <c r="M169" s="229"/>
      <c r="N169" s="215"/>
    </row>
    <row r="170" spans="2:14" ht="15" customHeight="1">
      <c r="B170" s="212"/>
      <c r="C170" s="19"/>
      <c r="D170" s="36"/>
      <c r="E170" s="257"/>
      <c r="F170" s="258"/>
      <c r="G170" s="258"/>
      <c r="H170" s="258"/>
      <c r="I170" s="258"/>
      <c r="J170" s="258"/>
      <c r="K170" s="258"/>
      <c r="L170" s="244"/>
      <c r="M170" s="229"/>
      <c r="N170" s="215"/>
    </row>
    <row r="171" spans="2:14" ht="15" customHeight="1">
      <c r="B171" s="212"/>
      <c r="C171" s="20"/>
      <c r="D171" s="25"/>
      <c r="E171" s="257"/>
      <c r="F171" s="258"/>
      <c r="G171" s="258"/>
      <c r="H171" s="258"/>
      <c r="I171" s="258"/>
      <c r="J171" s="258"/>
      <c r="K171" s="258"/>
      <c r="L171" s="259"/>
      <c r="M171" s="244"/>
      <c r="N171" s="215"/>
    </row>
    <row r="172" spans="2:34" s="1" customFormat="1" ht="15" customHeight="1">
      <c r="B172" s="34"/>
      <c r="C172" s="14"/>
      <c r="D172" s="3"/>
      <c r="E172" s="319"/>
      <c r="F172" s="23"/>
      <c r="G172" s="23"/>
      <c r="H172" s="23"/>
      <c r="I172" s="23"/>
      <c r="J172" s="23"/>
      <c r="K172" s="23"/>
      <c r="L172" s="23"/>
      <c r="M172" s="23"/>
      <c r="N172" s="26"/>
      <c r="O172" s="29"/>
      <c r="P172" s="35"/>
      <c r="Q172" s="35"/>
      <c r="R172" s="35"/>
      <c r="S172" s="35"/>
      <c r="T172" s="35"/>
      <c r="U172" s="35"/>
      <c r="V172" s="35"/>
      <c r="W172" s="35"/>
      <c r="X172" s="35"/>
      <c r="Y172" s="35"/>
      <c r="Z172" s="35"/>
      <c r="AA172" s="35"/>
      <c r="AB172" s="35"/>
      <c r="AC172" s="35"/>
      <c r="AD172" s="35"/>
      <c r="AE172" s="35"/>
      <c r="AF172" s="35"/>
      <c r="AG172" s="35"/>
      <c r="AH172" s="35"/>
    </row>
    <row r="173" spans="2:19" s="332" customFormat="1" ht="15" customHeight="1">
      <c r="B173" s="424"/>
      <c r="C173" s="402"/>
      <c r="D173" s="425" t="s">
        <v>51</v>
      </c>
      <c r="E173" s="404"/>
      <c r="F173" s="404"/>
      <c r="G173" s="271"/>
      <c r="H173" s="271"/>
      <c r="I173" s="271"/>
      <c r="J173" s="271"/>
      <c r="K173" s="271"/>
      <c r="L173" s="271"/>
      <c r="M173" s="426"/>
      <c r="N173" s="427"/>
      <c r="O173" s="265"/>
      <c r="R173" s="535"/>
      <c r="S173" s="535"/>
    </row>
    <row r="174" spans="2:18" s="265" customFormat="1" ht="15.75" customHeight="1">
      <c r="B174" s="401"/>
      <c r="C174" s="402"/>
      <c r="D174" s="520" t="s">
        <v>549</v>
      </c>
      <c r="E174" s="474"/>
      <c r="F174" s="474"/>
      <c r="G174" s="474"/>
      <c r="H174" s="474"/>
      <c r="I174" s="474"/>
      <c r="J174" s="474"/>
      <c r="K174" s="474"/>
      <c r="L174" s="474"/>
      <c r="M174" s="428"/>
      <c r="N174" s="408"/>
      <c r="O174" s="429"/>
      <c r="R174" s="430"/>
    </row>
    <row r="175" spans="2:18" s="265" customFormat="1" ht="27.75" customHeight="1">
      <c r="B175" s="401"/>
      <c r="C175" s="402"/>
      <c r="D175" s="520" t="s">
        <v>550</v>
      </c>
      <c r="E175" s="474"/>
      <c r="F175" s="474"/>
      <c r="G175" s="474"/>
      <c r="H175" s="474"/>
      <c r="I175" s="474"/>
      <c r="J175" s="474"/>
      <c r="K175" s="474"/>
      <c r="L175" s="474"/>
      <c r="M175" s="428"/>
      <c r="N175" s="408"/>
      <c r="O175" s="429"/>
      <c r="R175" s="430"/>
    </row>
    <row r="176" spans="2:18" s="265" customFormat="1" ht="15.75" customHeight="1">
      <c r="B176" s="401"/>
      <c r="C176" s="402"/>
      <c r="D176" s="431" t="s">
        <v>551</v>
      </c>
      <c r="E176" s="431"/>
      <c r="F176" s="431"/>
      <c r="G176" s="431"/>
      <c r="H176" s="431"/>
      <c r="I176" s="431"/>
      <c r="J176" s="431"/>
      <c r="K176" s="213"/>
      <c r="L176" s="428"/>
      <c r="M176" s="428"/>
      <c r="N176" s="408"/>
      <c r="O176" s="432"/>
      <c r="R176" s="430"/>
    </row>
    <row r="177" spans="2:15" s="265" customFormat="1" ht="30" customHeight="1">
      <c r="B177" s="401"/>
      <c r="C177" s="402"/>
      <c r="D177" s="520" t="s">
        <v>552</v>
      </c>
      <c r="E177" s="474"/>
      <c r="F177" s="474"/>
      <c r="G177" s="474"/>
      <c r="H177" s="474"/>
      <c r="I177" s="474"/>
      <c r="J177" s="474"/>
      <c r="K177" s="474"/>
      <c r="L177" s="474"/>
      <c r="M177" s="428"/>
      <c r="N177" s="408"/>
      <c r="O177" s="409"/>
    </row>
    <row r="178" spans="2:15" s="265" customFormat="1" ht="15.75" customHeight="1">
      <c r="B178" s="401"/>
      <c r="C178" s="402"/>
      <c r="D178" s="431" t="s">
        <v>553</v>
      </c>
      <c r="E178" s="431"/>
      <c r="F178" s="431"/>
      <c r="G178" s="431"/>
      <c r="H178" s="431"/>
      <c r="I178" s="431"/>
      <c r="J178" s="431"/>
      <c r="K178" s="213"/>
      <c r="L178" s="428"/>
      <c r="M178" s="428"/>
      <c r="N178" s="408"/>
      <c r="O178" s="409"/>
    </row>
    <row r="179" spans="2:15" s="265" customFormat="1" ht="15.75" customHeight="1">
      <c r="B179" s="401"/>
      <c r="C179" s="433"/>
      <c r="D179" s="434" t="s">
        <v>554</v>
      </c>
      <c r="E179" s="431"/>
      <c r="F179" s="431"/>
      <c r="G179" s="431"/>
      <c r="H179" s="431"/>
      <c r="I179" s="431"/>
      <c r="J179" s="431"/>
      <c r="K179" s="213"/>
      <c r="L179" s="428"/>
      <c r="M179" s="428"/>
      <c r="N179" s="408"/>
      <c r="O179" s="409"/>
    </row>
    <row r="180" spans="2:15" s="265" customFormat="1" ht="15.75" customHeight="1">
      <c r="B180" s="401"/>
      <c r="C180" s="402"/>
      <c r="D180" s="434" t="s">
        <v>555</v>
      </c>
      <c r="E180" s="431"/>
      <c r="F180" s="431"/>
      <c r="G180" s="431"/>
      <c r="H180" s="431"/>
      <c r="I180" s="431"/>
      <c r="J180" s="431"/>
      <c r="K180" s="213"/>
      <c r="L180" s="428"/>
      <c r="M180" s="428"/>
      <c r="N180" s="408"/>
      <c r="O180" s="409"/>
    </row>
    <row r="181" spans="2:15" s="265" customFormat="1" ht="26.25" customHeight="1">
      <c r="B181" s="401"/>
      <c r="C181" s="402"/>
      <c r="D181" s="521" t="s">
        <v>574</v>
      </c>
      <c r="E181" s="474"/>
      <c r="F181" s="474"/>
      <c r="G181" s="474"/>
      <c r="H181" s="474"/>
      <c r="I181" s="474"/>
      <c r="J181" s="474"/>
      <c r="K181" s="474"/>
      <c r="L181" s="474"/>
      <c r="M181" s="474"/>
      <c r="N181" s="408"/>
      <c r="O181" s="409"/>
    </row>
    <row r="182" spans="2:15" s="265" customFormat="1" ht="15.75" customHeight="1">
      <c r="B182" s="401"/>
      <c r="C182" s="402"/>
      <c r="D182" s="434" t="s">
        <v>556</v>
      </c>
      <c r="E182" s="431"/>
      <c r="F182" s="431"/>
      <c r="G182" s="431"/>
      <c r="H182" s="431"/>
      <c r="I182" s="431"/>
      <c r="J182" s="431"/>
      <c r="K182" s="213"/>
      <c r="L182" s="428"/>
      <c r="M182" s="428"/>
      <c r="N182" s="408"/>
      <c r="O182" s="409"/>
    </row>
    <row r="183" spans="2:15" s="265" customFormat="1" ht="15" customHeight="1" thickBot="1">
      <c r="B183" s="435"/>
      <c r="C183" s="436"/>
      <c r="D183" s="437"/>
      <c r="E183" s="438"/>
      <c r="F183" s="438"/>
      <c r="G183" s="438"/>
      <c r="H183" s="438"/>
      <c r="I183" s="438"/>
      <c r="J183" s="438"/>
      <c r="K183" s="260"/>
      <c r="L183" s="439"/>
      <c r="M183" s="439"/>
      <c r="N183" s="440"/>
      <c r="O183" s="409"/>
    </row>
  </sheetData>
  <sheetProtection selectLockedCells="1"/>
  <mergeCells count="151">
    <mergeCell ref="D145:E145"/>
    <mergeCell ref="D142:E142"/>
    <mergeCell ref="D143:E143"/>
    <mergeCell ref="D144:E144"/>
    <mergeCell ref="D146:E146"/>
    <mergeCell ref="D140:E140"/>
    <mergeCell ref="D141:E141"/>
    <mergeCell ref="D129:E129"/>
    <mergeCell ref="D130:E130"/>
    <mergeCell ref="D131:E131"/>
    <mergeCell ref="D132:E132"/>
    <mergeCell ref="L11:L12"/>
    <mergeCell ref="D8:L8"/>
    <mergeCell ref="F11:F12"/>
    <mergeCell ref="D20:E20"/>
    <mergeCell ref="D73:E73"/>
    <mergeCell ref="D99:E99"/>
    <mergeCell ref="D154:E154"/>
    <mergeCell ref="D156:E156"/>
    <mergeCell ref="D163:E163"/>
    <mergeCell ref="D2:L2"/>
    <mergeCell ref="D11:E12"/>
    <mergeCell ref="G11:G12"/>
    <mergeCell ref="H11:H12"/>
    <mergeCell ref="I11:I12"/>
    <mergeCell ref="J11:J12"/>
    <mergeCell ref="K11:K12"/>
    <mergeCell ref="D160:E160"/>
    <mergeCell ref="D161:E161"/>
    <mergeCell ref="D162:E162"/>
    <mergeCell ref="D165:E165"/>
    <mergeCell ref="R173:S173"/>
    <mergeCell ref="D158:E158"/>
    <mergeCell ref="D159:E159"/>
    <mergeCell ref="D134:E134"/>
    <mergeCell ref="D136:E136"/>
    <mergeCell ref="D138:E138"/>
    <mergeCell ref="D139:E139"/>
    <mergeCell ref="D147:E147"/>
    <mergeCell ref="D174:L174"/>
    <mergeCell ref="D166:E166"/>
    <mergeCell ref="D167:E167"/>
    <mergeCell ref="D168:E168"/>
    <mergeCell ref="D169:E169"/>
    <mergeCell ref="D149:E149"/>
    <mergeCell ref="D153:E153"/>
    <mergeCell ref="D124:E124"/>
    <mergeCell ref="D125:E125"/>
    <mergeCell ref="D126:E126"/>
    <mergeCell ref="D127:E127"/>
    <mergeCell ref="D128:E128"/>
    <mergeCell ref="D150:E150"/>
    <mergeCell ref="D151:E151"/>
    <mergeCell ref="D152:E152"/>
    <mergeCell ref="D175:L175"/>
    <mergeCell ref="D120:E120"/>
    <mergeCell ref="D121:E121"/>
    <mergeCell ref="D122:E122"/>
    <mergeCell ref="D123:E123"/>
    <mergeCell ref="D115:E115"/>
    <mergeCell ref="D116:E116"/>
    <mergeCell ref="D118:E118"/>
    <mergeCell ref="D133:E133"/>
    <mergeCell ref="D148:E148"/>
    <mergeCell ref="D110:E110"/>
    <mergeCell ref="D112:E112"/>
    <mergeCell ref="D114:E114"/>
    <mergeCell ref="D108:E108"/>
    <mergeCell ref="D109:E109"/>
    <mergeCell ref="D101:E101"/>
    <mergeCell ref="D104:E104"/>
    <mergeCell ref="D106:E106"/>
    <mergeCell ref="D103:E103"/>
    <mergeCell ref="D96:E96"/>
    <mergeCell ref="D97:E97"/>
    <mergeCell ref="D98:E98"/>
    <mergeCell ref="D100:E100"/>
    <mergeCell ref="D90:E90"/>
    <mergeCell ref="D92:E92"/>
    <mergeCell ref="D94:E94"/>
    <mergeCell ref="D84:E84"/>
    <mergeCell ref="D86:E86"/>
    <mergeCell ref="D87:E87"/>
    <mergeCell ref="D88:E88"/>
    <mergeCell ref="D89:E89"/>
    <mergeCell ref="D78:E78"/>
    <mergeCell ref="D79:E79"/>
    <mergeCell ref="D80:E80"/>
    <mergeCell ref="D82:E82"/>
    <mergeCell ref="D72:E72"/>
    <mergeCell ref="D74:E74"/>
    <mergeCell ref="D75:E75"/>
    <mergeCell ref="D76:E76"/>
    <mergeCell ref="D77:E77"/>
    <mergeCell ref="D66:E66"/>
    <mergeCell ref="D67:E67"/>
    <mergeCell ref="D69:E69"/>
    <mergeCell ref="D71:E71"/>
    <mergeCell ref="D61:E61"/>
    <mergeCell ref="D63:E63"/>
    <mergeCell ref="D64:E64"/>
    <mergeCell ref="D65:E65"/>
    <mergeCell ref="D56:E56"/>
    <mergeCell ref="D57:E57"/>
    <mergeCell ref="D58:E58"/>
    <mergeCell ref="D59:E59"/>
    <mergeCell ref="D49:E49"/>
    <mergeCell ref="D50:E50"/>
    <mergeCell ref="D51:E51"/>
    <mergeCell ref="D53:E54"/>
    <mergeCell ref="D43:E43"/>
    <mergeCell ref="D44:E44"/>
    <mergeCell ref="D45:E45"/>
    <mergeCell ref="D46:E46"/>
    <mergeCell ref="D47:E47"/>
    <mergeCell ref="D35:E35"/>
    <mergeCell ref="D36:E36"/>
    <mergeCell ref="D55:E55"/>
    <mergeCell ref="D37:E37"/>
    <mergeCell ref="D38:E38"/>
    <mergeCell ref="D39:E39"/>
    <mergeCell ref="D40:E40"/>
    <mergeCell ref="D41:E41"/>
    <mergeCell ref="D42:E42"/>
    <mergeCell ref="D48:E48"/>
    <mergeCell ref="D29:E29"/>
    <mergeCell ref="D30:E30"/>
    <mergeCell ref="D177:L177"/>
    <mergeCell ref="D181:M181"/>
    <mergeCell ref="G96:K96"/>
    <mergeCell ref="G108:K108"/>
    <mergeCell ref="D31:E31"/>
    <mergeCell ref="D32:E32"/>
    <mergeCell ref="D33:E33"/>
    <mergeCell ref="D34:E34"/>
    <mergeCell ref="D22:E22"/>
    <mergeCell ref="D23:E23"/>
    <mergeCell ref="D24:E24"/>
    <mergeCell ref="D26:E26"/>
    <mergeCell ref="D27:E27"/>
    <mergeCell ref="D28:E28"/>
    <mergeCell ref="D13:E13"/>
    <mergeCell ref="D14:E14"/>
    <mergeCell ref="D15:E15"/>
    <mergeCell ref="D19:E19"/>
    <mergeCell ref="D25:E25"/>
    <mergeCell ref="G30:K30"/>
    <mergeCell ref="D16:E16"/>
    <mergeCell ref="D17:E17"/>
    <mergeCell ref="D18:E18"/>
    <mergeCell ref="D21:E21"/>
  </mergeCells>
  <conditionalFormatting sqref="G85:K85">
    <cfRule type="cellIs" priority="6" dxfId="50" operator="equal" stopIfTrue="1">
      <formula>"ERROR"</formula>
    </cfRule>
    <cfRule type="cellIs" priority="8" dxfId="44" operator="equal" stopIfTrue="1">
      <formula>"ERROR"</formula>
    </cfRule>
  </conditionalFormatting>
  <conditionalFormatting sqref="G95:K95">
    <cfRule type="cellIs" priority="7" dxfId="50" operator="equal" stopIfTrue="1">
      <formula>"ERROR"</formula>
    </cfRule>
  </conditionalFormatting>
  <conditionalFormatting sqref="G169:K169">
    <cfRule type="cellIs" priority="5" dxfId="51" operator="lessThan" stopIfTrue="1">
      <formula>0</formula>
    </cfRule>
  </conditionalFormatting>
  <conditionalFormatting sqref="F85">
    <cfRule type="cellIs" priority="2" dxfId="50" operator="equal" stopIfTrue="1">
      <formula>"ERROR"</formula>
    </cfRule>
    <cfRule type="cellIs" priority="4" dxfId="44" operator="equal" stopIfTrue="1">
      <formula>"ERROR"</formula>
    </cfRule>
  </conditionalFormatting>
  <conditionalFormatting sqref="F95">
    <cfRule type="cellIs" priority="3" dxfId="50" operator="equal" stopIfTrue="1">
      <formula>"ERROR"</formula>
    </cfRule>
  </conditionalFormatting>
  <conditionalFormatting sqref="F169">
    <cfRule type="cellIs" priority="1" dxfId="51" operator="lessThan" stopIfTrue="1">
      <formula>0</formula>
    </cfRule>
  </conditionalFormatting>
  <printOptions/>
  <pageMargins left="0.7" right="0.7" top="0.75" bottom="0.75" header="0.3" footer="0.3"/>
  <pageSetup horizontalDpi="1200" verticalDpi="1200" orientation="landscape" scale="91"/>
</worksheet>
</file>

<file path=xl/worksheets/sheet5.xml><?xml version="1.0" encoding="utf-8"?>
<worksheet xmlns="http://schemas.openxmlformats.org/spreadsheetml/2006/main" xmlns:r="http://schemas.openxmlformats.org/officeDocument/2006/relationships">
  <sheetPr>
    <tabColor rgb="FFFF0000"/>
  </sheetPr>
  <dimension ref="B2:N307"/>
  <sheetViews>
    <sheetView zoomScalePageLayoutView="0" workbookViewId="0" topLeftCell="A1">
      <selection activeCell="J32" sqref="J32"/>
    </sheetView>
  </sheetViews>
  <sheetFormatPr defaultColWidth="11.421875" defaultRowHeight="15"/>
  <cols>
    <col min="1" max="2" width="11.421875" style="265" customWidth="1"/>
    <col min="3" max="3" width="33.00390625" style="265" customWidth="1"/>
    <col min="4" max="4" width="15.8515625" style="265" customWidth="1"/>
    <col min="5" max="5" width="16.28125" style="265" customWidth="1"/>
    <col min="6" max="6" width="16.00390625" style="265" customWidth="1"/>
    <col min="7" max="7" width="17.140625" style="265" customWidth="1"/>
    <col min="8" max="8" width="4.421875" style="265" customWidth="1"/>
    <col min="9" max="9" width="19.140625" style="265" customWidth="1"/>
    <col min="10" max="10" width="10.421875" style="265" customWidth="1"/>
    <col min="11" max="11" width="10.140625" style="265" customWidth="1"/>
    <col min="12" max="13" width="11.421875" style="265" customWidth="1"/>
    <col min="14" max="14" width="12.00390625" style="265" bestFit="1" customWidth="1"/>
    <col min="15" max="16384" width="11.421875" style="265" customWidth="1"/>
  </cols>
  <sheetData>
    <row r="1" ht="12.75"/>
    <row r="2" spans="2:10" ht="12.75">
      <c r="B2" s="268" t="s">
        <v>99</v>
      </c>
      <c r="C2" s="269" t="s">
        <v>100</v>
      </c>
      <c r="D2" s="270"/>
      <c r="E2" s="270"/>
      <c r="F2" s="270"/>
      <c r="G2" s="271"/>
      <c r="H2" s="271"/>
      <c r="I2" s="271"/>
      <c r="J2" s="272"/>
    </row>
    <row r="3" spans="2:10" ht="12.75">
      <c r="B3" s="273"/>
      <c r="C3" s="274" t="s">
        <v>101</v>
      </c>
      <c r="D3" s="275"/>
      <c r="E3" s="275"/>
      <c r="F3" s="275"/>
      <c r="G3" s="276"/>
      <c r="H3" s="276"/>
      <c r="I3" s="276"/>
      <c r="J3" s="277"/>
    </row>
    <row r="4" spans="2:10" ht="12.75">
      <c r="B4" s="273"/>
      <c r="C4" s="274" t="s">
        <v>102</v>
      </c>
      <c r="D4" s="275"/>
      <c r="E4" s="275"/>
      <c r="F4" s="275"/>
      <c r="G4" s="276"/>
      <c r="H4" s="276"/>
      <c r="I4" s="276"/>
      <c r="J4" s="277"/>
    </row>
    <row r="5" spans="2:10" ht="12.75">
      <c r="B5" s="273"/>
      <c r="C5" s="274" t="s">
        <v>103</v>
      </c>
      <c r="D5" s="275"/>
      <c r="E5" s="275"/>
      <c r="F5" s="275"/>
      <c r="G5" s="276"/>
      <c r="H5" s="276"/>
      <c r="I5" s="276"/>
      <c r="J5" s="277"/>
    </row>
    <row r="6" spans="2:10" ht="12.75">
      <c r="B6" s="273"/>
      <c r="C6" s="274" t="s">
        <v>104</v>
      </c>
      <c r="D6" s="275"/>
      <c r="E6" s="275"/>
      <c r="F6" s="275"/>
      <c r="G6" s="276"/>
      <c r="H6" s="276"/>
      <c r="I6" s="276"/>
      <c r="J6" s="277"/>
    </row>
    <row r="7" spans="2:10" ht="12.75">
      <c r="B7" s="273"/>
      <c r="C7" s="274" t="s">
        <v>557</v>
      </c>
      <c r="D7" s="275"/>
      <c r="E7" s="275"/>
      <c r="F7" s="275"/>
      <c r="G7" s="276"/>
      <c r="H7" s="276"/>
      <c r="I7" s="276"/>
      <c r="J7" s="277"/>
    </row>
    <row r="8" spans="2:10" ht="12.75">
      <c r="B8" s="273"/>
      <c r="C8" s="274" t="s">
        <v>105</v>
      </c>
      <c r="D8" s="275"/>
      <c r="E8" s="275"/>
      <c r="F8" s="275"/>
      <c r="G8" s="276"/>
      <c r="H8" s="276"/>
      <c r="I8" s="276"/>
      <c r="J8" s="277"/>
    </row>
    <row r="9" spans="2:10" ht="12.75">
      <c r="B9" s="278"/>
      <c r="C9" s="279" t="s">
        <v>106</v>
      </c>
      <c r="D9" s="280"/>
      <c r="E9" s="280"/>
      <c r="F9" s="280"/>
      <c r="G9" s="281"/>
      <c r="H9" s="281"/>
      <c r="I9" s="281"/>
      <c r="J9" s="282"/>
    </row>
    <row r="10" ht="12.75"/>
    <row r="11" spans="2:10" ht="23.25" customHeight="1">
      <c r="B11" s="548" t="s">
        <v>426</v>
      </c>
      <c r="C11" s="549"/>
      <c r="D11" s="549"/>
      <c r="E11" s="549"/>
      <c r="F11" s="549"/>
      <c r="G11" s="549"/>
      <c r="H11" s="549"/>
      <c r="I11" s="549"/>
      <c r="J11" s="549"/>
    </row>
    <row r="12" spans="2:10" ht="43.5" customHeight="1">
      <c r="B12" s="485"/>
      <c r="C12" s="485"/>
      <c r="D12" s="485"/>
      <c r="E12" s="485"/>
      <c r="F12" s="485"/>
      <c r="G12" s="485"/>
      <c r="H12" s="485"/>
      <c r="I12" s="485"/>
      <c r="J12" s="485"/>
    </row>
    <row r="13" spans="2:10" ht="23.25" customHeight="1">
      <c r="B13" s="550" t="s">
        <v>427</v>
      </c>
      <c r="C13" s="550"/>
      <c r="D13" s="550"/>
      <c r="E13" s="550"/>
      <c r="F13" s="550"/>
      <c r="G13" s="550"/>
      <c r="H13" s="550"/>
      <c r="I13" s="550"/>
      <c r="J13" s="550"/>
    </row>
    <row r="14" spans="2:10" ht="23.25" customHeight="1">
      <c r="B14" s="294"/>
      <c r="C14" s="295"/>
      <c r="D14" s="295"/>
      <c r="E14" s="295"/>
      <c r="F14" s="295"/>
      <c r="G14" s="295"/>
      <c r="H14" s="295"/>
      <c r="I14" s="295"/>
      <c r="J14" s="295"/>
    </row>
    <row r="15" spans="3:10" ht="12.75">
      <c r="C15" s="546" t="s">
        <v>98</v>
      </c>
      <c r="D15" s="547"/>
      <c r="E15" s="296"/>
      <c r="F15" s="296"/>
      <c r="H15" s="546"/>
      <c r="I15" s="546"/>
      <c r="J15" s="546"/>
    </row>
    <row r="16" spans="4:10" ht="12.75">
      <c r="D16" s="263"/>
      <c r="E16" s="296"/>
      <c r="F16" s="296"/>
      <c r="H16" s="308"/>
      <c r="I16" s="308"/>
      <c r="J16" s="308"/>
    </row>
    <row r="17" spans="2:10" s="303" customFormat="1" ht="12.75">
      <c r="B17" s="312"/>
      <c r="C17" s="313" t="s">
        <v>97</v>
      </c>
      <c r="D17" s="283" t="s">
        <v>398</v>
      </c>
      <c r="E17" s="298" t="s">
        <v>402</v>
      </c>
      <c r="F17" s="298" t="s">
        <v>399</v>
      </c>
      <c r="G17" s="303" t="s">
        <v>403</v>
      </c>
      <c r="H17" s="314"/>
      <c r="I17" s="315"/>
      <c r="J17" s="309"/>
    </row>
    <row r="18" spans="2:11" ht="12.75">
      <c r="B18" s="266"/>
      <c r="C18" s="267" t="s">
        <v>107</v>
      </c>
      <c r="D18" s="264"/>
      <c r="E18" s="300"/>
      <c r="F18" s="302"/>
      <c r="G18" s="301"/>
      <c r="H18" s="308"/>
      <c r="I18" s="322" t="s">
        <v>428</v>
      </c>
      <c r="J18" s="284" t="s">
        <v>396</v>
      </c>
      <c r="K18" s="285" t="s">
        <v>397</v>
      </c>
    </row>
    <row r="19" spans="3:11" ht="12.75">
      <c r="C19" s="304" t="s">
        <v>108</v>
      </c>
      <c r="D19" s="307">
        <v>0.0661</v>
      </c>
      <c r="E19" s="299">
        <f aca="true" t="shared" si="0" ref="E19:E50">(D19*$J$20)+$J$19</f>
        <v>5789.265</v>
      </c>
      <c r="F19" s="307">
        <v>0.0661</v>
      </c>
      <c r="G19" s="299">
        <f>(F19*$K$20)+$K$19</f>
        <v>5945.9175</v>
      </c>
      <c r="I19" s="323" t="s">
        <v>429</v>
      </c>
      <c r="J19" s="324">
        <v>5548</v>
      </c>
      <c r="K19" s="325">
        <v>5703</v>
      </c>
    </row>
    <row r="20" spans="3:11" ht="12.75">
      <c r="C20" s="304" t="s">
        <v>109</v>
      </c>
      <c r="D20" s="307">
        <v>0.2018</v>
      </c>
      <c r="E20" s="299">
        <f t="shared" si="0"/>
        <v>6284.57</v>
      </c>
      <c r="F20" s="307">
        <v>0.1969</v>
      </c>
      <c r="G20" s="299">
        <f aca="true" t="shared" si="1" ref="G20:G83">(F20*$K$20)+$K$19</f>
        <v>6426.6075</v>
      </c>
      <c r="I20" s="326" t="s">
        <v>430</v>
      </c>
      <c r="J20" s="310">
        <v>3650</v>
      </c>
      <c r="K20" s="311">
        <v>3675</v>
      </c>
    </row>
    <row r="21" spans="3:12" ht="12.75">
      <c r="C21" s="304" t="s">
        <v>110</v>
      </c>
      <c r="D21" s="307">
        <v>0.419</v>
      </c>
      <c r="E21" s="299">
        <f t="shared" si="0"/>
        <v>7077.35</v>
      </c>
      <c r="F21" s="307">
        <v>0.394</v>
      </c>
      <c r="G21" s="299">
        <f t="shared" si="1"/>
        <v>7150.95</v>
      </c>
      <c r="I21" s="326" t="s">
        <v>431</v>
      </c>
      <c r="J21" s="310">
        <v>128</v>
      </c>
      <c r="K21" s="311">
        <v>128</v>
      </c>
      <c r="L21" s="265" t="s">
        <v>432</v>
      </c>
    </row>
    <row r="22" spans="3:12" ht="12.75">
      <c r="C22" s="304" t="s">
        <v>111</v>
      </c>
      <c r="D22" s="307">
        <v>0.1184</v>
      </c>
      <c r="E22" s="299">
        <f t="shared" si="0"/>
        <v>5980.16</v>
      </c>
      <c r="F22" s="307">
        <v>0.1184</v>
      </c>
      <c r="G22" s="299">
        <f t="shared" si="1"/>
        <v>6138.12</v>
      </c>
      <c r="I22" s="326" t="s">
        <v>433</v>
      </c>
      <c r="J22" s="310">
        <v>2300</v>
      </c>
      <c r="K22" s="311">
        <v>2300</v>
      </c>
      <c r="L22" s="265" t="s">
        <v>434</v>
      </c>
    </row>
    <row r="23" spans="3:11" ht="12.75">
      <c r="C23" s="304" t="s">
        <v>112</v>
      </c>
      <c r="D23" s="307">
        <v>0.1792</v>
      </c>
      <c r="E23" s="299">
        <f t="shared" si="0"/>
        <v>6202.08</v>
      </c>
      <c r="F23" s="307">
        <v>0.1792</v>
      </c>
      <c r="G23" s="299">
        <f t="shared" si="1"/>
        <v>6361.5599999999995</v>
      </c>
      <c r="I23" s="327" t="s">
        <v>96</v>
      </c>
      <c r="J23" s="328">
        <v>6750</v>
      </c>
      <c r="K23" s="329">
        <v>6750</v>
      </c>
    </row>
    <row r="24" spans="3:8" ht="12.75">
      <c r="C24" s="304" t="s">
        <v>113</v>
      </c>
      <c r="D24" s="307">
        <v>0.0637</v>
      </c>
      <c r="E24" s="299">
        <f t="shared" si="0"/>
        <v>5780.505</v>
      </c>
      <c r="F24" s="307">
        <v>0.0637</v>
      </c>
      <c r="G24" s="299">
        <f t="shared" si="1"/>
        <v>5937.0975</v>
      </c>
      <c r="H24" s="286"/>
    </row>
    <row r="25" spans="3:14" ht="12.75">
      <c r="C25" s="304" t="s">
        <v>114</v>
      </c>
      <c r="D25" s="307">
        <v>0.0578</v>
      </c>
      <c r="E25" s="299">
        <f t="shared" si="0"/>
        <v>5758.97</v>
      </c>
      <c r="F25" s="307">
        <v>0.0578</v>
      </c>
      <c r="G25" s="299">
        <f t="shared" si="1"/>
        <v>5915.415</v>
      </c>
      <c r="I25" s="265" t="s">
        <v>435</v>
      </c>
      <c r="N25" s="297"/>
    </row>
    <row r="26" spans="3:14" ht="12.75">
      <c r="C26" s="304" t="s">
        <v>115</v>
      </c>
      <c r="D26" s="307">
        <v>0.1339</v>
      </c>
      <c r="E26" s="299">
        <f t="shared" si="0"/>
        <v>6036.735</v>
      </c>
      <c r="F26" s="307">
        <v>0.1339</v>
      </c>
      <c r="G26" s="299">
        <f t="shared" si="1"/>
        <v>6195.0825</v>
      </c>
      <c r="N26" s="297"/>
    </row>
    <row r="27" spans="3:7" ht="12.75">
      <c r="C27" s="304" t="s">
        <v>116</v>
      </c>
      <c r="D27" s="307">
        <v>0.0782</v>
      </c>
      <c r="E27" s="299">
        <f t="shared" si="0"/>
        <v>5833.43</v>
      </c>
      <c r="F27" s="307">
        <v>0.0782</v>
      </c>
      <c r="G27" s="299">
        <f t="shared" si="1"/>
        <v>5990.385</v>
      </c>
    </row>
    <row r="28" spans="3:7" ht="12.75">
      <c r="C28" s="304" t="s">
        <v>117</v>
      </c>
      <c r="D28" s="307">
        <v>0.0974</v>
      </c>
      <c r="E28" s="299">
        <f t="shared" si="0"/>
        <v>5903.51</v>
      </c>
      <c r="F28" s="307">
        <v>0.0974</v>
      </c>
      <c r="G28" s="299">
        <f t="shared" si="1"/>
        <v>6060.945</v>
      </c>
    </row>
    <row r="29" spans="3:7" ht="12.75">
      <c r="C29" s="304" t="s">
        <v>118</v>
      </c>
      <c r="D29" s="307">
        <v>0.291</v>
      </c>
      <c r="E29" s="299">
        <f t="shared" si="0"/>
        <v>6610.15</v>
      </c>
      <c r="F29" s="307">
        <v>0.291</v>
      </c>
      <c r="G29" s="299">
        <f t="shared" si="1"/>
        <v>6772.425</v>
      </c>
    </row>
    <row r="30" spans="3:7" ht="12.75">
      <c r="C30" s="304" t="s">
        <v>119</v>
      </c>
      <c r="D30" s="307">
        <v>0.176</v>
      </c>
      <c r="E30" s="299">
        <f t="shared" si="0"/>
        <v>6190.4</v>
      </c>
      <c r="F30" s="307">
        <v>0.151</v>
      </c>
      <c r="G30" s="299">
        <f t="shared" si="1"/>
        <v>6257.925</v>
      </c>
    </row>
    <row r="31" spans="3:7" ht="12.75">
      <c r="C31" s="304" t="s">
        <v>120</v>
      </c>
      <c r="D31" s="307">
        <v>0.2549</v>
      </c>
      <c r="E31" s="299">
        <f t="shared" si="0"/>
        <v>6478.385</v>
      </c>
      <c r="F31" s="307">
        <v>0.2388</v>
      </c>
      <c r="G31" s="299">
        <f t="shared" si="1"/>
        <v>6580.59</v>
      </c>
    </row>
    <row r="32" spans="3:7" ht="12.75">
      <c r="C32" s="304" t="s">
        <v>121</v>
      </c>
      <c r="D32" s="307">
        <v>0.1593</v>
      </c>
      <c r="E32" s="299">
        <f t="shared" si="0"/>
        <v>6129.445</v>
      </c>
      <c r="F32" s="307">
        <v>0.1593</v>
      </c>
      <c r="G32" s="299">
        <f t="shared" si="1"/>
        <v>6288.4275</v>
      </c>
    </row>
    <row r="33" spans="3:7" ht="12.75">
      <c r="C33" s="304" t="s">
        <v>122</v>
      </c>
      <c r="D33" s="307">
        <v>0.1775</v>
      </c>
      <c r="E33" s="299">
        <f t="shared" si="0"/>
        <v>6195.875</v>
      </c>
      <c r="F33" s="307">
        <v>0.1775</v>
      </c>
      <c r="G33" s="299">
        <f t="shared" si="1"/>
        <v>6355.3125</v>
      </c>
    </row>
    <row r="34" spans="3:7" ht="12.75">
      <c r="C34" s="304" t="s">
        <v>123</v>
      </c>
      <c r="D34" s="307">
        <v>0.0825</v>
      </c>
      <c r="E34" s="299">
        <f t="shared" si="0"/>
        <v>5849.125</v>
      </c>
      <c r="F34" s="307">
        <v>0.0745</v>
      </c>
      <c r="G34" s="299">
        <f t="shared" si="1"/>
        <v>5976.7875</v>
      </c>
    </row>
    <row r="35" spans="3:7" ht="12.75">
      <c r="C35" s="304" t="s">
        <v>124</v>
      </c>
      <c r="D35" s="307">
        <v>0.1626</v>
      </c>
      <c r="E35" s="299">
        <f t="shared" si="0"/>
        <v>6141.49</v>
      </c>
      <c r="F35" s="307">
        <v>0.1452</v>
      </c>
      <c r="G35" s="299">
        <f t="shared" si="1"/>
        <v>6236.61</v>
      </c>
    </row>
    <row r="36" spans="3:7" ht="12.75">
      <c r="C36" s="304" t="s">
        <v>125</v>
      </c>
      <c r="D36" s="307">
        <v>0.0537</v>
      </c>
      <c r="E36" s="299">
        <f t="shared" si="0"/>
        <v>5744.005</v>
      </c>
      <c r="F36" s="307">
        <v>0.0537</v>
      </c>
      <c r="G36" s="299">
        <f t="shared" si="1"/>
        <v>5900.3475</v>
      </c>
    </row>
    <row r="37" spans="3:7" ht="12.75">
      <c r="C37" s="304" t="s">
        <v>126</v>
      </c>
      <c r="D37" s="307">
        <v>0.1286</v>
      </c>
      <c r="E37" s="299">
        <f t="shared" si="0"/>
        <v>6017.39</v>
      </c>
      <c r="F37" s="307">
        <v>0.1286</v>
      </c>
      <c r="G37" s="299">
        <f t="shared" si="1"/>
        <v>6175.605</v>
      </c>
    </row>
    <row r="38" spans="3:7" ht="12.75">
      <c r="C38" s="304" t="s">
        <v>127</v>
      </c>
      <c r="D38" s="307">
        <v>0.1752</v>
      </c>
      <c r="E38" s="299">
        <f t="shared" si="0"/>
        <v>6187.48</v>
      </c>
      <c r="F38" s="307">
        <v>0.1552</v>
      </c>
      <c r="G38" s="299">
        <f t="shared" si="1"/>
        <v>6273.36</v>
      </c>
    </row>
    <row r="39" spans="3:7" ht="12.75">
      <c r="C39" s="305" t="s">
        <v>128</v>
      </c>
      <c r="D39" s="307">
        <v>0.3813</v>
      </c>
      <c r="E39" s="299">
        <f t="shared" si="0"/>
        <v>6939.745</v>
      </c>
      <c r="F39" s="307">
        <v>0.3813</v>
      </c>
      <c r="G39" s="299">
        <f t="shared" si="1"/>
        <v>7104.2775</v>
      </c>
    </row>
    <row r="40" spans="3:7" ht="12.75">
      <c r="C40" s="304" t="s">
        <v>129</v>
      </c>
      <c r="D40" s="307">
        <v>0.0236</v>
      </c>
      <c r="E40" s="299">
        <f t="shared" si="0"/>
        <v>5634.14</v>
      </c>
      <c r="F40" s="307">
        <v>0.0236</v>
      </c>
      <c r="G40" s="299">
        <f t="shared" si="1"/>
        <v>5789.73</v>
      </c>
    </row>
    <row r="41" spans="3:7" ht="12.75">
      <c r="C41" s="304" t="s">
        <v>130</v>
      </c>
      <c r="D41" s="307">
        <v>0.1</v>
      </c>
      <c r="E41" s="299">
        <f t="shared" si="0"/>
        <v>5913</v>
      </c>
      <c r="F41" s="307">
        <v>0.0973</v>
      </c>
      <c r="G41" s="299">
        <f t="shared" si="1"/>
        <v>6060.5775</v>
      </c>
    </row>
    <row r="42" spans="3:7" ht="12.75">
      <c r="C42" s="304" t="s">
        <v>131</v>
      </c>
      <c r="D42" s="307">
        <v>0.1404</v>
      </c>
      <c r="E42" s="299">
        <f t="shared" si="0"/>
        <v>6060.46</v>
      </c>
      <c r="F42" s="307">
        <v>0.1404</v>
      </c>
      <c r="G42" s="299">
        <f t="shared" si="1"/>
        <v>6218.97</v>
      </c>
    </row>
    <row r="43" spans="3:7" ht="12.75">
      <c r="C43" s="304" t="s">
        <v>132</v>
      </c>
      <c r="D43" s="307">
        <v>0.0564</v>
      </c>
      <c r="E43" s="299">
        <f t="shared" si="0"/>
        <v>5753.86</v>
      </c>
      <c r="F43" s="307">
        <v>0.0564</v>
      </c>
      <c r="G43" s="299">
        <f t="shared" si="1"/>
        <v>5910.27</v>
      </c>
    </row>
    <row r="44" spans="3:7" ht="12.75">
      <c r="C44" s="304" t="s">
        <v>133</v>
      </c>
      <c r="D44" s="307">
        <v>0.135</v>
      </c>
      <c r="E44" s="299">
        <f t="shared" si="0"/>
        <v>6040.75</v>
      </c>
      <c r="F44" s="307">
        <v>0.1337</v>
      </c>
      <c r="G44" s="299">
        <f t="shared" si="1"/>
        <v>6194.3475</v>
      </c>
    </row>
    <row r="45" spans="3:7" ht="12.75">
      <c r="C45" s="304" t="s">
        <v>134</v>
      </c>
      <c r="D45" s="307">
        <v>0.1091</v>
      </c>
      <c r="E45" s="299">
        <f t="shared" si="0"/>
        <v>5946.215</v>
      </c>
      <c r="F45" s="307">
        <v>0.1091</v>
      </c>
      <c r="G45" s="299">
        <f t="shared" si="1"/>
        <v>6103.9425</v>
      </c>
    </row>
    <row r="46" spans="3:7" ht="12.75">
      <c r="C46" s="304" t="s">
        <v>135</v>
      </c>
      <c r="D46" s="307">
        <v>0.111</v>
      </c>
      <c r="E46" s="299">
        <f t="shared" si="0"/>
        <v>5953.15</v>
      </c>
      <c r="F46" s="307">
        <v>0.1086</v>
      </c>
      <c r="G46" s="299">
        <f t="shared" si="1"/>
        <v>6102.105</v>
      </c>
    </row>
    <row r="47" spans="3:7" ht="12.75">
      <c r="C47" s="304" t="s">
        <v>136</v>
      </c>
      <c r="D47" s="307">
        <v>0.2061</v>
      </c>
      <c r="E47" s="299">
        <f t="shared" si="0"/>
        <v>6300.265</v>
      </c>
      <c r="F47" s="307">
        <v>0.1967</v>
      </c>
      <c r="G47" s="299">
        <f t="shared" si="1"/>
        <v>6425.8725</v>
      </c>
    </row>
    <row r="48" spans="3:7" ht="12.75">
      <c r="C48" s="304" t="s">
        <v>137</v>
      </c>
      <c r="D48" s="307">
        <v>0.2124</v>
      </c>
      <c r="E48" s="299">
        <f t="shared" si="0"/>
        <v>6323.26</v>
      </c>
      <c r="F48" s="307">
        <v>0.204</v>
      </c>
      <c r="G48" s="299">
        <f t="shared" si="1"/>
        <v>6452.7</v>
      </c>
    </row>
    <row r="49" spans="3:7" ht="12.75">
      <c r="C49" s="304" t="s">
        <v>138</v>
      </c>
      <c r="D49" s="307">
        <v>0.1489</v>
      </c>
      <c r="E49" s="299">
        <f t="shared" si="0"/>
        <v>6091.485</v>
      </c>
      <c r="F49" s="307">
        <v>0.1239</v>
      </c>
      <c r="G49" s="299">
        <f t="shared" si="1"/>
        <v>6158.3325</v>
      </c>
    </row>
    <row r="50" spans="3:7" ht="12.75">
      <c r="C50" s="304" t="s">
        <v>139</v>
      </c>
      <c r="D50" s="307">
        <v>0.1502</v>
      </c>
      <c r="E50" s="299">
        <f t="shared" si="0"/>
        <v>6096.23</v>
      </c>
      <c r="F50" s="307">
        <v>0.1502</v>
      </c>
      <c r="G50" s="299">
        <f t="shared" si="1"/>
        <v>6254.985</v>
      </c>
    </row>
    <row r="51" spans="3:7" ht="12.75">
      <c r="C51" s="304" t="s">
        <v>140</v>
      </c>
      <c r="D51" s="307">
        <v>0.2184</v>
      </c>
      <c r="E51" s="299">
        <f aca="true" t="shared" si="2" ref="E51:E81">(D51*$J$20)+$J$19</f>
        <v>6345.16</v>
      </c>
      <c r="F51" s="307">
        <v>0.2104</v>
      </c>
      <c r="G51" s="299">
        <f t="shared" si="1"/>
        <v>6476.22</v>
      </c>
    </row>
    <row r="52" spans="3:7" ht="12.75">
      <c r="C52" s="304" t="s">
        <v>141</v>
      </c>
      <c r="D52" s="307">
        <v>0.2331</v>
      </c>
      <c r="E52" s="299">
        <f t="shared" si="2"/>
        <v>6398.8150000000005</v>
      </c>
      <c r="F52" s="307">
        <v>0.2081</v>
      </c>
      <c r="G52" s="299">
        <f t="shared" si="1"/>
        <v>6467.7675</v>
      </c>
    </row>
    <row r="53" spans="3:7" ht="12.75">
      <c r="C53" s="304" t="s">
        <v>142</v>
      </c>
      <c r="D53" s="307">
        <v>0.146</v>
      </c>
      <c r="E53" s="299">
        <f t="shared" si="2"/>
        <v>6080.9</v>
      </c>
      <c r="F53" s="307">
        <v>0.1237</v>
      </c>
      <c r="G53" s="299">
        <f t="shared" si="1"/>
        <v>6157.5975</v>
      </c>
    </row>
    <row r="54" spans="3:7" ht="12.75">
      <c r="C54" s="304" t="s">
        <v>143</v>
      </c>
      <c r="D54" s="307">
        <v>0.1015</v>
      </c>
      <c r="E54" s="299">
        <f t="shared" si="2"/>
        <v>5918.475</v>
      </c>
      <c r="F54" s="307">
        <v>0.0988</v>
      </c>
      <c r="G54" s="299">
        <f t="shared" si="1"/>
        <v>6066.09</v>
      </c>
    </row>
    <row r="55" spans="3:7" ht="12.75">
      <c r="C55" s="304" t="s">
        <v>144</v>
      </c>
      <c r="D55" s="307">
        <v>0.1788</v>
      </c>
      <c r="E55" s="299">
        <f t="shared" si="2"/>
        <v>6200.62</v>
      </c>
      <c r="F55" s="307">
        <v>0.1788</v>
      </c>
      <c r="G55" s="299">
        <f t="shared" si="1"/>
        <v>6360.09</v>
      </c>
    </row>
    <row r="56" spans="3:7" ht="12.75">
      <c r="C56" s="304" t="s">
        <v>145</v>
      </c>
      <c r="D56" s="307">
        <v>0.2101</v>
      </c>
      <c r="E56" s="299">
        <f t="shared" si="2"/>
        <v>6314.865</v>
      </c>
      <c r="F56" s="307">
        <v>0.2101</v>
      </c>
      <c r="G56" s="299">
        <f t="shared" si="1"/>
        <v>6475.1175</v>
      </c>
    </row>
    <row r="57" spans="3:7" ht="12.75">
      <c r="C57" s="304" t="s">
        <v>146</v>
      </c>
      <c r="D57" s="307">
        <v>0.2245</v>
      </c>
      <c r="E57" s="299">
        <f t="shared" si="2"/>
        <v>6367.425</v>
      </c>
      <c r="F57" s="307">
        <v>0.21</v>
      </c>
      <c r="G57" s="299">
        <f t="shared" si="1"/>
        <v>6474.75</v>
      </c>
    </row>
    <row r="58" spans="3:7" ht="12.75">
      <c r="C58" s="304" t="s">
        <v>147</v>
      </c>
      <c r="D58" s="307">
        <v>0.1898</v>
      </c>
      <c r="E58" s="299">
        <f t="shared" si="2"/>
        <v>6240.77</v>
      </c>
      <c r="F58" s="307">
        <v>0.1884</v>
      </c>
      <c r="G58" s="299">
        <f t="shared" si="1"/>
        <v>6395.37</v>
      </c>
    </row>
    <row r="59" spans="3:7" ht="12.75">
      <c r="C59" s="304" t="s">
        <v>148</v>
      </c>
      <c r="D59" s="307">
        <v>0.066</v>
      </c>
      <c r="E59" s="299">
        <f t="shared" si="2"/>
        <v>5788.9</v>
      </c>
      <c r="F59" s="307">
        <v>0.066</v>
      </c>
      <c r="G59" s="299">
        <f t="shared" si="1"/>
        <v>5945.55</v>
      </c>
    </row>
    <row r="60" spans="3:7" ht="12.75">
      <c r="C60" s="305" t="s">
        <v>149</v>
      </c>
      <c r="D60" s="307">
        <v>0.2073</v>
      </c>
      <c r="E60" s="299">
        <f t="shared" si="2"/>
        <v>6304.645</v>
      </c>
      <c r="F60" s="307">
        <v>0.19</v>
      </c>
      <c r="G60" s="299">
        <f t="shared" si="1"/>
        <v>6401.25</v>
      </c>
    </row>
    <row r="61" spans="3:7" ht="12.75">
      <c r="C61" s="304" t="s">
        <v>150</v>
      </c>
      <c r="D61" s="307">
        <v>0.154</v>
      </c>
      <c r="E61" s="299">
        <f t="shared" si="2"/>
        <v>6110.1</v>
      </c>
      <c r="F61" s="307">
        <v>0.154</v>
      </c>
      <c r="G61" s="299">
        <f t="shared" si="1"/>
        <v>6268.95</v>
      </c>
    </row>
    <row r="62" spans="3:7" ht="12.75">
      <c r="C62" s="304" t="s">
        <v>151</v>
      </c>
      <c r="D62" s="307">
        <v>0.0738</v>
      </c>
      <c r="E62" s="299">
        <f t="shared" si="2"/>
        <v>5817.37</v>
      </c>
      <c r="F62" s="307">
        <v>0.0738</v>
      </c>
      <c r="G62" s="299">
        <f t="shared" si="1"/>
        <v>5974.215</v>
      </c>
    </row>
    <row r="63" spans="3:7" ht="12.75">
      <c r="C63" s="304" t="s">
        <v>152</v>
      </c>
      <c r="D63" s="307">
        <v>0.1443</v>
      </c>
      <c r="E63" s="299">
        <f t="shared" si="2"/>
        <v>6074.695</v>
      </c>
      <c r="F63" s="307">
        <v>0.1337</v>
      </c>
      <c r="G63" s="299">
        <f t="shared" si="1"/>
        <v>6194.3475</v>
      </c>
    </row>
    <row r="64" spans="3:7" ht="12.75">
      <c r="C64" s="304" t="s">
        <v>153</v>
      </c>
      <c r="D64" s="307">
        <v>0.1176</v>
      </c>
      <c r="E64" s="299">
        <f t="shared" si="2"/>
        <v>5977.24</v>
      </c>
      <c r="F64" s="307">
        <v>0.1052</v>
      </c>
      <c r="G64" s="299">
        <f t="shared" si="1"/>
        <v>6089.61</v>
      </c>
    </row>
    <row r="65" spans="3:7" ht="12.75">
      <c r="C65" s="304" t="s">
        <v>154</v>
      </c>
      <c r="D65" s="307">
        <v>0.1345</v>
      </c>
      <c r="E65" s="299">
        <f t="shared" si="2"/>
        <v>6038.925</v>
      </c>
      <c r="F65" s="307">
        <v>0.128</v>
      </c>
      <c r="G65" s="299">
        <f t="shared" si="1"/>
        <v>6173.4</v>
      </c>
    </row>
    <row r="66" spans="3:7" ht="12.75">
      <c r="C66" s="304" t="s">
        <v>155</v>
      </c>
      <c r="D66" s="307">
        <v>0.1553</v>
      </c>
      <c r="E66" s="299">
        <f t="shared" si="2"/>
        <v>6114.845</v>
      </c>
      <c r="F66" s="307">
        <v>0.1553</v>
      </c>
      <c r="G66" s="299">
        <f t="shared" si="1"/>
        <v>6273.7275</v>
      </c>
    </row>
    <row r="67" spans="3:7" ht="12.75">
      <c r="C67" s="304" t="s">
        <v>156</v>
      </c>
      <c r="D67" s="307">
        <v>0.1329</v>
      </c>
      <c r="E67" s="299">
        <f t="shared" si="2"/>
        <v>6033.085</v>
      </c>
      <c r="F67" s="307">
        <v>0.1329</v>
      </c>
      <c r="G67" s="299">
        <f t="shared" si="1"/>
        <v>6191.4075</v>
      </c>
    </row>
    <row r="68" spans="3:7" ht="12.75">
      <c r="C68" s="304" t="s">
        <v>157</v>
      </c>
      <c r="D68" s="307">
        <v>0.0839</v>
      </c>
      <c r="E68" s="299">
        <f t="shared" si="2"/>
        <v>5854.235</v>
      </c>
      <c r="F68" s="307">
        <v>0.082</v>
      </c>
      <c r="G68" s="299">
        <f t="shared" si="1"/>
        <v>6004.35</v>
      </c>
    </row>
    <row r="69" spans="3:7" ht="12.75">
      <c r="C69" s="304" t="s">
        <v>158</v>
      </c>
      <c r="D69" s="307">
        <v>0.2184</v>
      </c>
      <c r="E69" s="299">
        <f t="shared" si="2"/>
        <v>6345.16</v>
      </c>
      <c r="F69" s="307">
        <v>0.2184</v>
      </c>
      <c r="G69" s="299">
        <f t="shared" si="1"/>
        <v>6505.62</v>
      </c>
    </row>
    <row r="70" spans="3:7" ht="12.75">
      <c r="C70" s="304" t="s">
        <v>159</v>
      </c>
      <c r="D70" s="307">
        <v>0.1722</v>
      </c>
      <c r="E70" s="299">
        <f t="shared" si="2"/>
        <v>6176.53</v>
      </c>
      <c r="F70" s="307">
        <v>0.1722</v>
      </c>
      <c r="G70" s="299">
        <f t="shared" si="1"/>
        <v>6335.835</v>
      </c>
    </row>
    <row r="71" spans="3:7" ht="12.75">
      <c r="C71" s="304" t="s">
        <v>160</v>
      </c>
      <c r="D71" s="307">
        <v>0.1508</v>
      </c>
      <c r="E71" s="299">
        <f t="shared" si="2"/>
        <v>6098.42</v>
      </c>
      <c r="F71" s="307">
        <v>0.1334</v>
      </c>
      <c r="G71" s="299">
        <f t="shared" si="1"/>
        <v>6193.245</v>
      </c>
    </row>
    <row r="72" spans="3:7" ht="12.75">
      <c r="C72" s="304" t="s">
        <v>161</v>
      </c>
      <c r="D72" s="307">
        <v>0.0502</v>
      </c>
      <c r="E72" s="299">
        <f t="shared" si="2"/>
        <v>5731.23</v>
      </c>
      <c r="F72" s="307">
        <v>0.0502</v>
      </c>
      <c r="G72" s="299">
        <f t="shared" si="1"/>
        <v>5887.485</v>
      </c>
    </row>
    <row r="73" spans="3:7" ht="12.75">
      <c r="C73" s="304" t="s">
        <v>162</v>
      </c>
      <c r="D73" s="307">
        <v>0.1711</v>
      </c>
      <c r="E73" s="299">
        <f t="shared" si="2"/>
        <v>6172.515</v>
      </c>
      <c r="F73" s="307">
        <v>0.1559</v>
      </c>
      <c r="G73" s="299">
        <f t="shared" si="1"/>
        <v>6275.9325</v>
      </c>
    </row>
    <row r="74" spans="3:7" ht="12.75">
      <c r="C74" s="304" t="s">
        <v>163</v>
      </c>
      <c r="D74" s="307">
        <v>0.1507</v>
      </c>
      <c r="E74" s="299">
        <f t="shared" si="2"/>
        <v>6098.055</v>
      </c>
      <c r="F74" s="307">
        <v>0.1507</v>
      </c>
      <c r="G74" s="299">
        <f t="shared" si="1"/>
        <v>6256.8225</v>
      </c>
    </row>
    <row r="75" spans="3:7" ht="12.75">
      <c r="C75" s="304" t="s">
        <v>164</v>
      </c>
      <c r="D75" s="307">
        <v>0.1602</v>
      </c>
      <c r="E75" s="299">
        <f t="shared" si="2"/>
        <v>6132.73</v>
      </c>
      <c r="F75" s="307">
        <v>0.1513</v>
      </c>
      <c r="G75" s="299">
        <f t="shared" si="1"/>
        <v>6259.0275</v>
      </c>
    </row>
    <row r="76" spans="3:7" ht="12.75">
      <c r="C76" s="304" t="s">
        <v>165</v>
      </c>
      <c r="D76" s="307">
        <v>0.0997</v>
      </c>
      <c r="E76" s="299">
        <f t="shared" si="2"/>
        <v>5911.905</v>
      </c>
      <c r="F76" s="307">
        <v>0.0896</v>
      </c>
      <c r="G76" s="299">
        <f t="shared" si="1"/>
        <v>6032.28</v>
      </c>
    </row>
    <row r="77" spans="3:7" ht="12.75">
      <c r="C77" s="304" t="s">
        <v>166</v>
      </c>
      <c r="D77" s="307">
        <v>0.119</v>
      </c>
      <c r="E77" s="299">
        <f t="shared" si="2"/>
        <v>5982.35</v>
      </c>
      <c r="F77" s="307">
        <v>0.119</v>
      </c>
      <c r="G77" s="299">
        <f t="shared" si="1"/>
        <v>6140.325</v>
      </c>
    </row>
    <row r="78" spans="3:7" ht="12.75">
      <c r="C78" s="304" t="s">
        <v>167</v>
      </c>
      <c r="D78" s="307">
        <v>0.161</v>
      </c>
      <c r="E78" s="299">
        <f t="shared" si="2"/>
        <v>6135.65</v>
      </c>
      <c r="F78" s="307">
        <v>0.136</v>
      </c>
      <c r="G78" s="299">
        <f t="shared" si="1"/>
        <v>6202.8</v>
      </c>
    </row>
    <row r="79" spans="3:7" ht="12.75">
      <c r="C79" s="304" t="s">
        <v>168</v>
      </c>
      <c r="D79" s="307">
        <v>0.2157</v>
      </c>
      <c r="E79" s="299">
        <f t="shared" si="2"/>
        <v>6335.305</v>
      </c>
      <c r="F79" s="307">
        <v>0.1907</v>
      </c>
      <c r="G79" s="299">
        <f t="shared" si="1"/>
        <v>6403.8225</v>
      </c>
    </row>
    <row r="80" spans="3:7" ht="12.75">
      <c r="C80" s="304" t="s">
        <v>169</v>
      </c>
      <c r="D80" s="307">
        <v>0.244</v>
      </c>
      <c r="E80" s="299">
        <f t="shared" si="2"/>
        <v>6438.6</v>
      </c>
      <c r="F80" s="307">
        <v>0.2221</v>
      </c>
      <c r="G80" s="299">
        <f t="shared" si="1"/>
        <v>6519.2175</v>
      </c>
    </row>
    <row r="81" spans="3:7" ht="12.75">
      <c r="C81" s="304" t="s">
        <v>170</v>
      </c>
      <c r="D81" s="307">
        <v>0.2835</v>
      </c>
      <c r="E81" s="299">
        <f t="shared" si="2"/>
        <v>6582.775</v>
      </c>
      <c r="F81" s="307">
        <v>0.2656</v>
      </c>
      <c r="G81" s="299">
        <f t="shared" si="1"/>
        <v>6679.08</v>
      </c>
    </row>
    <row r="82" spans="3:7" ht="12.75">
      <c r="C82" s="304" t="s">
        <v>171</v>
      </c>
      <c r="D82" s="307">
        <v>0.1778</v>
      </c>
      <c r="E82" s="299">
        <f aca="true" t="shared" si="3" ref="E82:E145">(D82*$J$20)+$J$19</f>
        <v>6196.97</v>
      </c>
      <c r="F82" s="307">
        <v>0.1528</v>
      </c>
      <c r="G82" s="299">
        <f t="shared" si="1"/>
        <v>6264.54</v>
      </c>
    </row>
    <row r="83" spans="3:7" ht="12.75">
      <c r="C83" s="304" t="s">
        <v>172</v>
      </c>
      <c r="D83" s="307">
        <v>0.2575</v>
      </c>
      <c r="E83" s="299">
        <f t="shared" si="3"/>
        <v>6487.875</v>
      </c>
      <c r="F83" s="307">
        <v>0.2434</v>
      </c>
      <c r="G83" s="299">
        <f t="shared" si="1"/>
        <v>6597.495</v>
      </c>
    </row>
    <row r="84" spans="3:7" ht="12.75">
      <c r="C84" s="304" t="s">
        <v>173</v>
      </c>
      <c r="D84" s="307">
        <v>0.0361</v>
      </c>
      <c r="E84" s="299">
        <f t="shared" si="3"/>
        <v>5679.765</v>
      </c>
      <c r="F84" s="307">
        <v>0.0361</v>
      </c>
      <c r="G84" s="299">
        <f aca="true" t="shared" si="4" ref="G84:G147">(F84*$K$20)+$K$19</f>
        <v>5835.6675</v>
      </c>
    </row>
    <row r="85" spans="3:7" ht="12.75">
      <c r="C85" s="304" t="s">
        <v>174</v>
      </c>
      <c r="D85" s="307">
        <v>0.2637</v>
      </c>
      <c r="E85" s="299">
        <f t="shared" si="3"/>
        <v>6510.505</v>
      </c>
      <c r="F85" s="307">
        <v>0.2387</v>
      </c>
      <c r="G85" s="299">
        <f t="shared" si="4"/>
        <v>6580.2225</v>
      </c>
    </row>
    <row r="86" spans="3:7" ht="12.75">
      <c r="C86" s="304" t="s">
        <v>175</v>
      </c>
      <c r="D86" s="307">
        <v>0.1419</v>
      </c>
      <c r="E86" s="299">
        <f t="shared" si="3"/>
        <v>6065.9349999999995</v>
      </c>
      <c r="F86" s="307">
        <v>0.1169</v>
      </c>
      <c r="G86" s="299">
        <f t="shared" si="4"/>
        <v>6132.6075</v>
      </c>
    </row>
    <row r="87" spans="3:7" ht="12.75">
      <c r="C87" s="304" t="s">
        <v>176</v>
      </c>
      <c r="D87" s="307">
        <v>0.3155</v>
      </c>
      <c r="E87" s="299">
        <f t="shared" si="3"/>
        <v>6699.575</v>
      </c>
      <c r="F87" s="307">
        <v>0.2905</v>
      </c>
      <c r="G87" s="299">
        <f t="shared" si="4"/>
        <v>6770.5875</v>
      </c>
    </row>
    <row r="88" spans="3:7" ht="12.75">
      <c r="C88" s="304" t="s">
        <v>177</v>
      </c>
      <c r="D88" s="307">
        <v>0.1379</v>
      </c>
      <c r="E88" s="299">
        <f t="shared" si="3"/>
        <v>6051.335</v>
      </c>
      <c r="F88" s="307">
        <v>0.1379</v>
      </c>
      <c r="G88" s="299">
        <f t="shared" si="4"/>
        <v>6209.7825</v>
      </c>
    </row>
    <row r="89" spans="3:7" ht="12.75">
      <c r="C89" s="304" t="s">
        <v>178</v>
      </c>
      <c r="D89" s="307">
        <v>0.1472</v>
      </c>
      <c r="E89" s="299">
        <f t="shared" si="3"/>
        <v>6085.28</v>
      </c>
      <c r="F89" s="307">
        <v>0.1472</v>
      </c>
      <c r="G89" s="299">
        <f t="shared" si="4"/>
        <v>6243.96</v>
      </c>
    </row>
    <row r="90" spans="3:7" ht="12.75">
      <c r="C90" s="304" t="s">
        <v>179</v>
      </c>
      <c r="D90" s="307">
        <v>0.1012</v>
      </c>
      <c r="E90" s="299">
        <f t="shared" si="3"/>
        <v>5917.38</v>
      </c>
      <c r="F90" s="307">
        <v>0.1012</v>
      </c>
      <c r="G90" s="299">
        <f t="shared" si="4"/>
        <v>6074.91</v>
      </c>
    </row>
    <row r="91" spans="3:7" ht="12.75">
      <c r="C91" s="304" t="s">
        <v>180</v>
      </c>
      <c r="D91" s="307">
        <v>0.1101</v>
      </c>
      <c r="E91" s="299">
        <f t="shared" si="3"/>
        <v>5949.865</v>
      </c>
      <c r="F91" s="307">
        <v>0.1101</v>
      </c>
      <c r="G91" s="299">
        <f t="shared" si="4"/>
        <v>6107.6175</v>
      </c>
    </row>
    <row r="92" spans="3:7" ht="12.75">
      <c r="C92" s="304" t="s">
        <v>181</v>
      </c>
      <c r="D92" s="307">
        <v>0.1226</v>
      </c>
      <c r="E92" s="299">
        <f t="shared" si="3"/>
        <v>5995.49</v>
      </c>
      <c r="F92" s="307">
        <v>0.1116</v>
      </c>
      <c r="G92" s="299">
        <f t="shared" si="4"/>
        <v>6113.13</v>
      </c>
    </row>
    <row r="93" spans="3:7" ht="12.75">
      <c r="C93" s="304" t="s">
        <v>182</v>
      </c>
      <c r="D93" s="307">
        <v>0.0879</v>
      </c>
      <c r="E93" s="299">
        <f t="shared" si="3"/>
        <v>5868.835</v>
      </c>
      <c r="F93" s="307">
        <v>0.0879</v>
      </c>
      <c r="G93" s="299">
        <f t="shared" si="4"/>
        <v>6026.0325</v>
      </c>
    </row>
    <row r="94" spans="3:7" ht="12.75">
      <c r="C94" s="304" t="s">
        <v>183</v>
      </c>
      <c r="D94" s="307">
        <v>0.1427</v>
      </c>
      <c r="E94" s="299">
        <f t="shared" si="3"/>
        <v>6068.855</v>
      </c>
      <c r="F94" s="307">
        <v>0.1277</v>
      </c>
      <c r="G94" s="299">
        <f t="shared" si="4"/>
        <v>6172.2975</v>
      </c>
    </row>
    <row r="95" spans="3:7" ht="12.75">
      <c r="C95" s="304" t="s">
        <v>184</v>
      </c>
      <c r="D95" s="307">
        <v>0.5916</v>
      </c>
      <c r="E95" s="299">
        <f t="shared" si="3"/>
        <v>7707.34</v>
      </c>
      <c r="F95" s="307">
        <v>0.5685</v>
      </c>
      <c r="G95" s="299">
        <f t="shared" si="4"/>
        <v>7792.2375</v>
      </c>
    </row>
    <row r="96" spans="3:7" ht="12.75">
      <c r="C96" s="304" t="s">
        <v>185</v>
      </c>
      <c r="D96" s="307">
        <v>0.1216</v>
      </c>
      <c r="E96" s="299">
        <f t="shared" si="3"/>
        <v>5991.84</v>
      </c>
      <c r="F96" s="307">
        <v>0.0966</v>
      </c>
      <c r="G96" s="299">
        <f t="shared" si="4"/>
        <v>6058.005</v>
      </c>
    </row>
    <row r="97" spans="3:7" ht="12.75">
      <c r="C97" s="304" t="s">
        <v>186</v>
      </c>
      <c r="D97" s="307">
        <v>0.1715</v>
      </c>
      <c r="E97" s="299">
        <f t="shared" si="3"/>
        <v>6173.975</v>
      </c>
      <c r="F97" s="307">
        <v>0.1709</v>
      </c>
      <c r="G97" s="299">
        <f t="shared" si="4"/>
        <v>6331.0575</v>
      </c>
    </row>
    <row r="98" spans="3:7" ht="12.75">
      <c r="C98" s="304" t="s">
        <v>187</v>
      </c>
      <c r="D98" s="307">
        <v>0.064</v>
      </c>
      <c r="E98" s="299">
        <f t="shared" si="3"/>
        <v>5781.6</v>
      </c>
      <c r="F98" s="307">
        <v>0.064</v>
      </c>
      <c r="G98" s="299">
        <f t="shared" si="4"/>
        <v>5938.2</v>
      </c>
    </row>
    <row r="99" spans="3:7" ht="12.75">
      <c r="C99" s="304" t="s">
        <v>188</v>
      </c>
      <c r="D99" s="307">
        <v>0.1745</v>
      </c>
      <c r="E99" s="299">
        <f t="shared" si="3"/>
        <v>6184.925</v>
      </c>
      <c r="F99" s="307">
        <v>0.1745</v>
      </c>
      <c r="G99" s="299">
        <f t="shared" si="4"/>
        <v>6344.2875</v>
      </c>
    </row>
    <row r="100" spans="3:7" ht="12.75">
      <c r="C100" s="304" t="s">
        <v>189</v>
      </c>
      <c r="D100" s="307">
        <v>0.1191</v>
      </c>
      <c r="E100" s="299">
        <f t="shared" si="3"/>
        <v>5982.715</v>
      </c>
      <c r="F100" s="307">
        <v>0.118</v>
      </c>
      <c r="G100" s="299">
        <f t="shared" si="4"/>
        <v>6136.65</v>
      </c>
    </row>
    <row r="101" spans="3:7" ht="12.75">
      <c r="C101" s="304" t="s">
        <v>190</v>
      </c>
      <c r="D101" s="307">
        <v>0.1672</v>
      </c>
      <c r="E101" s="299">
        <f t="shared" si="3"/>
        <v>6158.28</v>
      </c>
      <c r="F101" s="307">
        <v>0.1669</v>
      </c>
      <c r="G101" s="299">
        <f t="shared" si="4"/>
        <v>6316.3575</v>
      </c>
    </row>
    <row r="102" spans="3:7" ht="12.75">
      <c r="C102" s="304" t="s">
        <v>191</v>
      </c>
      <c r="D102" s="307">
        <v>0.1538</v>
      </c>
      <c r="E102" s="299">
        <f t="shared" si="3"/>
        <v>6109.37</v>
      </c>
      <c r="F102" s="307">
        <v>0.1538</v>
      </c>
      <c r="G102" s="299">
        <f t="shared" si="4"/>
        <v>6268.215</v>
      </c>
    </row>
    <row r="103" spans="3:7" ht="12.75">
      <c r="C103" s="304" t="s">
        <v>192</v>
      </c>
      <c r="D103" s="307">
        <v>0.1943</v>
      </c>
      <c r="E103" s="299">
        <f t="shared" si="3"/>
        <v>6257.195</v>
      </c>
      <c r="F103" s="307">
        <v>0.1793</v>
      </c>
      <c r="G103" s="299">
        <f t="shared" si="4"/>
        <v>6361.9275</v>
      </c>
    </row>
    <row r="104" spans="3:7" ht="12.75">
      <c r="C104" s="305" t="s">
        <v>193</v>
      </c>
      <c r="D104" s="307">
        <v>0.0928</v>
      </c>
      <c r="E104" s="299">
        <f t="shared" si="3"/>
        <v>5886.72</v>
      </c>
      <c r="F104" s="307">
        <v>0.0928</v>
      </c>
      <c r="G104" s="299">
        <f t="shared" si="4"/>
        <v>6044.04</v>
      </c>
    </row>
    <row r="105" spans="3:7" ht="12.75">
      <c r="C105" s="304" t="s">
        <v>194</v>
      </c>
      <c r="D105" s="307">
        <v>0.0973</v>
      </c>
      <c r="E105" s="299">
        <f t="shared" si="3"/>
        <v>5903.145</v>
      </c>
      <c r="F105" s="307">
        <v>0.0973</v>
      </c>
      <c r="G105" s="299">
        <f t="shared" si="4"/>
        <v>6060.5775</v>
      </c>
    </row>
    <row r="106" spans="3:7" ht="12.75">
      <c r="C106" s="304" t="s">
        <v>195</v>
      </c>
      <c r="D106" s="307">
        <v>0.0316</v>
      </c>
      <c r="E106" s="299">
        <f t="shared" si="3"/>
        <v>5663.34</v>
      </c>
      <c r="F106" s="307">
        <v>0.0316</v>
      </c>
      <c r="G106" s="299">
        <f t="shared" si="4"/>
        <v>5819.13</v>
      </c>
    </row>
    <row r="107" spans="3:7" ht="12.75">
      <c r="C107" s="306" t="s">
        <v>196</v>
      </c>
      <c r="D107" s="307">
        <v>0.0725</v>
      </c>
      <c r="E107" s="299">
        <f t="shared" si="3"/>
        <v>5812.625</v>
      </c>
      <c r="F107" s="307">
        <v>0.0725</v>
      </c>
      <c r="G107" s="299">
        <f t="shared" si="4"/>
        <v>5969.4375</v>
      </c>
    </row>
    <row r="108" spans="3:7" ht="12.75">
      <c r="C108" s="304" t="s">
        <v>197</v>
      </c>
      <c r="D108" s="307">
        <v>0.1541</v>
      </c>
      <c r="E108" s="299">
        <f t="shared" si="3"/>
        <v>6110.465</v>
      </c>
      <c r="F108" s="307">
        <v>0.1541</v>
      </c>
      <c r="G108" s="299">
        <f t="shared" si="4"/>
        <v>6269.3175</v>
      </c>
    </row>
    <row r="109" spans="3:7" ht="12.75">
      <c r="C109" s="304" t="s">
        <v>198</v>
      </c>
      <c r="D109" s="307">
        <v>0.4459</v>
      </c>
      <c r="E109" s="299">
        <f t="shared" si="3"/>
        <v>7175.535</v>
      </c>
      <c r="F109" s="307">
        <v>0.4209</v>
      </c>
      <c r="G109" s="299">
        <f t="shared" si="4"/>
        <v>7249.8075</v>
      </c>
    </row>
    <row r="110" spans="3:7" ht="12.75">
      <c r="C110" s="305" t="s">
        <v>199</v>
      </c>
      <c r="D110" s="307">
        <v>0.1453</v>
      </c>
      <c r="E110" s="299">
        <f t="shared" si="3"/>
        <v>6078.345</v>
      </c>
      <c r="F110" s="307">
        <v>0.1354</v>
      </c>
      <c r="G110" s="299">
        <f t="shared" si="4"/>
        <v>6200.595</v>
      </c>
    </row>
    <row r="111" spans="3:7" ht="12.75">
      <c r="C111" s="304" t="s">
        <v>200</v>
      </c>
      <c r="D111" s="307">
        <v>0.1608</v>
      </c>
      <c r="E111" s="299">
        <f t="shared" si="3"/>
        <v>6134.92</v>
      </c>
      <c r="F111" s="307">
        <v>0.1381</v>
      </c>
      <c r="G111" s="299">
        <f t="shared" si="4"/>
        <v>6210.5175</v>
      </c>
    </row>
    <row r="112" spans="3:7" ht="12.75">
      <c r="C112" s="304" t="s">
        <v>201</v>
      </c>
      <c r="D112" s="307">
        <v>0.2101</v>
      </c>
      <c r="E112" s="299">
        <f t="shared" si="3"/>
        <v>6314.865</v>
      </c>
      <c r="F112" s="307">
        <v>0.1851</v>
      </c>
      <c r="G112" s="299">
        <f t="shared" si="4"/>
        <v>6383.2425</v>
      </c>
    </row>
    <row r="113" spans="3:7" ht="12.75">
      <c r="C113" s="304" t="s">
        <v>202</v>
      </c>
      <c r="D113" s="307">
        <v>0.104</v>
      </c>
      <c r="E113" s="299">
        <f t="shared" si="3"/>
        <v>5927.6</v>
      </c>
      <c r="F113" s="307">
        <v>0.104</v>
      </c>
      <c r="G113" s="299">
        <f t="shared" si="4"/>
        <v>6085.2</v>
      </c>
    </row>
    <row r="114" spans="3:7" ht="12.75">
      <c r="C114" s="304" t="s">
        <v>203</v>
      </c>
      <c r="D114" s="307">
        <v>0.1327</v>
      </c>
      <c r="E114" s="299">
        <f t="shared" si="3"/>
        <v>6032.355</v>
      </c>
      <c r="F114" s="307">
        <v>0.1327</v>
      </c>
      <c r="G114" s="299">
        <f t="shared" si="4"/>
        <v>6190.6725</v>
      </c>
    </row>
    <row r="115" spans="3:7" ht="12.75">
      <c r="C115" s="304" t="s">
        <v>204</v>
      </c>
      <c r="D115" s="307">
        <v>0.2441</v>
      </c>
      <c r="E115" s="299">
        <f t="shared" si="3"/>
        <v>6438.965</v>
      </c>
      <c r="F115" s="307">
        <v>0.2192</v>
      </c>
      <c r="G115" s="299">
        <f t="shared" si="4"/>
        <v>6508.56</v>
      </c>
    </row>
    <row r="116" spans="3:7" ht="12.75">
      <c r="C116" s="304" t="s">
        <v>205</v>
      </c>
      <c r="D116" s="307">
        <v>0.3544</v>
      </c>
      <c r="E116" s="299">
        <f t="shared" si="3"/>
        <v>6841.5599999999995</v>
      </c>
      <c r="F116" s="307">
        <v>0.3304</v>
      </c>
      <c r="G116" s="299">
        <f t="shared" si="4"/>
        <v>6917.22</v>
      </c>
    </row>
    <row r="117" spans="3:7" ht="12.75">
      <c r="C117" s="304" t="s">
        <v>206</v>
      </c>
      <c r="D117" s="307">
        <v>0.2868</v>
      </c>
      <c r="E117" s="299">
        <f t="shared" si="3"/>
        <v>6594.82</v>
      </c>
      <c r="F117" s="307">
        <v>0.2733</v>
      </c>
      <c r="G117" s="299">
        <f t="shared" si="4"/>
        <v>6707.3775</v>
      </c>
    </row>
    <row r="118" spans="3:7" ht="12.75">
      <c r="C118" s="306" t="s">
        <v>207</v>
      </c>
      <c r="D118" s="307">
        <v>0.0605</v>
      </c>
      <c r="E118" s="299">
        <f t="shared" si="3"/>
        <v>5768.825</v>
      </c>
      <c r="F118" s="307">
        <v>0.0605</v>
      </c>
      <c r="G118" s="299">
        <f t="shared" si="4"/>
        <v>5925.3375</v>
      </c>
    </row>
    <row r="119" spans="3:7" ht="12.75">
      <c r="C119" s="306" t="s">
        <v>208</v>
      </c>
      <c r="D119" s="307">
        <v>0.4819</v>
      </c>
      <c r="E119" s="299">
        <f t="shared" si="3"/>
        <v>7306.9349999999995</v>
      </c>
      <c r="F119" s="307">
        <v>0.4569</v>
      </c>
      <c r="G119" s="299">
        <f t="shared" si="4"/>
        <v>7382.1075</v>
      </c>
    </row>
    <row r="120" spans="3:7" ht="12.75">
      <c r="C120" s="306" t="s">
        <v>209</v>
      </c>
      <c r="D120" s="307">
        <v>0.3575</v>
      </c>
      <c r="E120" s="299">
        <f t="shared" si="3"/>
        <v>6852.875</v>
      </c>
      <c r="F120" s="307">
        <v>0.3325</v>
      </c>
      <c r="G120" s="299">
        <f t="shared" si="4"/>
        <v>6924.9375</v>
      </c>
    </row>
    <row r="121" spans="3:7" ht="12.75">
      <c r="C121" s="306" t="s">
        <v>210</v>
      </c>
      <c r="D121" s="307">
        <v>0.1256</v>
      </c>
      <c r="E121" s="299">
        <f t="shared" si="3"/>
        <v>6006.44</v>
      </c>
      <c r="F121" s="307">
        <v>0.1256</v>
      </c>
      <c r="G121" s="299">
        <f t="shared" si="4"/>
        <v>6164.58</v>
      </c>
    </row>
    <row r="122" spans="3:7" ht="12.75">
      <c r="C122" s="304" t="s">
        <v>211</v>
      </c>
      <c r="D122" s="307">
        <v>0.0561</v>
      </c>
      <c r="E122" s="299">
        <f t="shared" si="3"/>
        <v>5752.765</v>
      </c>
      <c r="F122" s="307">
        <v>0.0561</v>
      </c>
      <c r="G122" s="299">
        <f t="shared" si="4"/>
        <v>5909.1675</v>
      </c>
    </row>
    <row r="123" spans="3:7" ht="12.75">
      <c r="C123" s="304" t="s">
        <v>212</v>
      </c>
      <c r="D123" s="307">
        <v>0.2158</v>
      </c>
      <c r="E123" s="299">
        <f t="shared" si="3"/>
        <v>6335.67</v>
      </c>
      <c r="F123" s="307">
        <v>0.1951</v>
      </c>
      <c r="G123" s="299">
        <f t="shared" si="4"/>
        <v>6419.9925</v>
      </c>
    </row>
    <row r="124" spans="3:7" ht="12.75">
      <c r="C124" s="304" t="s">
        <v>213</v>
      </c>
      <c r="D124" s="307">
        <v>0.1786</v>
      </c>
      <c r="E124" s="299">
        <f t="shared" si="3"/>
        <v>6199.89</v>
      </c>
      <c r="F124" s="307">
        <v>0.1625</v>
      </c>
      <c r="G124" s="299">
        <f t="shared" si="4"/>
        <v>6300.1875</v>
      </c>
    </row>
    <row r="125" spans="3:7" ht="12.75">
      <c r="C125" s="304" t="s">
        <v>214</v>
      </c>
      <c r="D125" s="307">
        <v>0.1363</v>
      </c>
      <c r="E125" s="299">
        <f t="shared" si="3"/>
        <v>6045.495</v>
      </c>
      <c r="F125" s="307">
        <v>0.121</v>
      </c>
      <c r="G125" s="299">
        <f t="shared" si="4"/>
        <v>6147.675</v>
      </c>
    </row>
    <row r="126" spans="3:7" ht="12.75">
      <c r="C126" s="304" t="s">
        <v>400</v>
      </c>
      <c r="D126" s="307">
        <v>0.1386</v>
      </c>
      <c r="E126" s="299">
        <f t="shared" si="3"/>
        <v>6053.89</v>
      </c>
      <c r="F126" s="307">
        <v>0.1221</v>
      </c>
      <c r="G126" s="299">
        <f t="shared" si="4"/>
        <v>6151.7175</v>
      </c>
    </row>
    <row r="127" spans="3:7" ht="12.75">
      <c r="C127" s="304" t="s">
        <v>215</v>
      </c>
      <c r="D127" s="307">
        <v>0.2288</v>
      </c>
      <c r="E127" s="299">
        <f t="shared" si="3"/>
        <v>6383.12</v>
      </c>
      <c r="F127" s="307">
        <v>0.2288</v>
      </c>
      <c r="G127" s="299">
        <f t="shared" si="4"/>
        <v>6543.84</v>
      </c>
    </row>
    <row r="128" spans="3:7" ht="12.75">
      <c r="C128" s="304" t="s">
        <v>216</v>
      </c>
      <c r="D128" s="307">
        <v>0.1728</v>
      </c>
      <c r="E128" s="299">
        <f t="shared" si="3"/>
        <v>6178.72</v>
      </c>
      <c r="F128" s="307">
        <v>0.1728</v>
      </c>
      <c r="G128" s="299">
        <f t="shared" si="4"/>
        <v>6338.04</v>
      </c>
    </row>
    <row r="129" spans="3:7" ht="12.75">
      <c r="C129" s="304" t="s">
        <v>217</v>
      </c>
      <c r="D129" s="307">
        <v>0.2154</v>
      </c>
      <c r="E129" s="299">
        <f t="shared" si="3"/>
        <v>6334.21</v>
      </c>
      <c r="F129" s="307">
        <v>0.1904</v>
      </c>
      <c r="G129" s="299">
        <f t="shared" si="4"/>
        <v>6402.72</v>
      </c>
    </row>
    <row r="130" spans="3:7" ht="12.75">
      <c r="C130" s="305" t="s">
        <v>218</v>
      </c>
      <c r="D130" s="307">
        <v>0.1205</v>
      </c>
      <c r="E130" s="299">
        <f t="shared" si="3"/>
        <v>5987.825</v>
      </c>
      <c r="F130" s="307">
        <v>0.109</v>
      </c>
      <c r="G130" s="299">
        <f t="shared" si="4"/>
        <v>6103.575</v>
      </c>
    </row>
    <row r="131" spans="3:7" ht="12.75">
      <c r="C131" s="304" t="s">
        <v>219</v>
      </c>
      <c r="D131" s="307">
        <v>0.1384</v>
      </c>
      <c r="E131" s="299">
        <f t="shared" si="3"/>
        <v>6053.16</v>
      </c>
      <c r="F131" s="307">
        <v>0.1275</v>
      </c>
      <c r="G131" s="299">
        <f t="shared" si="4"/>
        <v>6171.5625</v>
      </c>
    </row>
    <row r="132" spans="3:7" ht="12.75">
      <c r="C132" s="304" t="s">
        <v>220</v>
      </c>
      <c r="D132" s="307">
        <v>0.1066</v>
      </c>
      <c r="E132" s="299">
        <f t="shared" si="3"/>
        <v>5937.09</v>
      </c>
      <c r="F132" s="307">
        <v>0.1066</v>
      </c>
      <c r="G132" s="299">
        <f t="shared" si="4"/>
        <v>6094.755</v>
      </c>
    </row>
    <row r="133" spans="3:7" ht="12.75">
      <c r="C133" s="304" t="s">
        <v>221</v>
      </c>
      <c r="D133" s="307">
        <v>0.2471</v>
      </c>
      <c r="E133" s="299">
        <f t="shared" si="3"/>
        <v>6449.915</v>
      </c>
      <c r="F133" s="307">
        <v>0.2471</v>
      </c>
      <c r="G133" s="299">
        <f t="shared" si="4"/>
        <v>6611.0925</v>
      </c>
    </row>
    <row r="134" spans="3:7" ht="12.75">
      <c r="C134" s="304" t="s">
        <v>222</v>
      </c>
      <c r="D134" s="307">
        <v>0.2379</v>
      </c>
      <c r="E134" s="299">
        <f t="shared" si="3"/>
        <v>6416.335</v>
      </c>
      <c r="F134" s="307">
        <v>0.2332</v>
      </c>
      <c r="G134" s="299">
        <f t="shared" si="4"/>
        <v>6560.01</v>
      </c>
    </row>
    <row r="135" spans="3:7" ht="12.75">
      <c r="C135" s="304" t="s">
        <v>223</v>
      </c>
      <c r="D135" s="307">
        <v>0.1872</v>
      </c>
      <c r="E135" s="299">
        <f t="shared" si="3"/>
        <v>6231.28</v>
      </c>
      <c r="F135" s="307">
        <v>0.1872</v>
      </c>
      <c r="G135" s="299">
        <f t="shared" si="4"/>
        <v>6390.96</v>
      </c>
    </row>
    <row r="136" spans="3:7" ht="12.75">
      <c r="C136" s="304" t="s">
        <v>224</v>
      </c>
      <c r="D136" s="307">
        <v>0.199</v>
      </c>
      <c r="E136" s="299">
        <f t="shared" si="3"/>
        <v>6274.35</v>
      </c>
      <c r="F136" s="307">
        <v>0.1988</v>
      </c>
      <c r="G136" s="299">
        <f t="shared" si="4"/>
        <v>6433.59</v>
      </c>
    </row>
    <row r="137" spans="3:7" ht="12.75">
      <c r="C137" s="304" t="s">
        <v>225</v>
      </c>
      <c r="D137" s="307">
        <v>0.1121</v>
      </c>
      <c r="E137" s="299">
        <f t="shared" si="3"/>
        <v>5957.165</v>
      </c>
      <c r="F137" s="307">
        <v>0.1121</v>
      </c>
      <c r="G137" s="299">
        <f t="shared" si="4"/>
        <v>6114.9675</v>
      </c>
    </row>
    <row r="138" spans="3:7" ht="12.75">
      <c r="C138" s="304" t="s">
        <v>226</v>
      </c>
      <c r="D138" s="307">
        <v>0.1531</v>
      </c>
      <c r="E138" s="299">
        <f t="shared" si="3"/>
        <v>6106.8150000000005</v>
      </c>
      <c r="F138" s="307">
        <v>0.1493</v>
      </c>
      <c r="G138" s="299">
        <f t="shared" si="4"/>
        <v>6251.6775</v>
      </c>
    </row>
    <row r="139" spans="3:7" ht="12.75">
      <c r="C139" s="304" t="s">
        <v>227</v>
      </c>
      <c r="D139" s="307">
        <v>0.2441</v>
      </c>
      <c r="E139" s="299">
        <f t="shared" si="3"/>
        <v>6438.965</v>
      </c>
      <c r="F139" s="307">
        <v>0.2315</v>
      </c>
      <c r="G139" s="299">
        <f t="shared" si="4"/>
        <v>6553.7625</v>
      </c>
    </row>
    <row r="140" spans="3:7" ht="12.75">
      <c r="C140" s="304" t="s">
        <v>228</v>
      </c>
      <c r="D140" s="307">
        <v>0.2364</v>
      </c>
      <c r="E140" s="299">
        <f t="shared" si="3"/>
        <v>6410.86</v>
      </c>
      <c r="F140" s="307">
        <v>0.2264</v>
      </c>
      <c r="G140" s="299">
        <f t="shared" si="4"/>
        <v>6535.02</v>
      </c>
    </row>
    <row r="141" spans="3:7" ht="12.75">
      <c r="C141" s="304" t="s">
        <v>229</v>
      </c>
      <c r="D141" s="307">
        <v>0.2416</v>
      </c>
      <c r="E141" s="299">
        <f t="shared" si="3"/>
        <v>6429.84</v>
      </c>
      <c r="F141" s="307">
        <v>0.2416</v>
      </c>
      <c r="G141" s="299">
        <f t="shared" si="4"/>
        <v>6590.88</v>
      </c>
    </row>
    <row r="142" spans="3:7" ht="12.75">
      <c r="C142" s="304" t="s">
        <v>230</v>
      </c>
      <c r="D142" s="307">
        <v>0.0487</v>
      </c>
      <c r="E142" s="299">
        <f t="shared" si="3"/>
        <v>5725.755</v>
      </c>
      <c r="F142" s="307">
        <v>0.0487</v>
      </c>
      <c r="G142" s="299">
        <f t="shared" si="4"/>
        <v>5881.9725</v>
      </c>
    </row>
    <row r="143" spans="3:7" ht="12.75">
      <c r="C143" s="304" t="s">
        <v>231</v>
      </c>
      <c r="D143" s="307">
        <v>0.1412</v>
      </c>
      <c r="E143" s="299">
        <f t="shared" si="3"/>
        <v>6063.38</v>
      </c>
      <c r="F143" s="307">
        <v>0.1412</v>
      </c>
      <c r="G143" s="299">
        <f t="shared" si="4"/>
        <v>6221.91</v>
      </c>
    </row>
    <row r="144" spans="3:7" ht="12.75">
      <c r="C144" s="304" t="s">
        <v>232</v>
      </c>
      <c r="D144" s="307">
        <v>0.161</v>
      </c>
      <c r="E144" s="299">
        <f t="shared" si="3"/>
        <v>6135.65</v>
      </c>
      <c r="F144" s="307">
        <v>0.1517</v>
      </c>
      <c r="G144" s="299">
        <f t="shared" si="4"/>
        <v>6260.4975</v>
      </c>
    </row>
    <row r="145" spans="3:7" ht="12.75">
      <c r="C145" s="304" t="s">
        <v>233</v>
      </c>
      <c r="D145" s="307">
        <v>0.1423</v>
      </c>
      <c r="E145" s="299">
        <f t="shared" si="3"/>
        <v>6067.395</v>
      </c>
      <c r="F145" s="307">
        <v>0.1173</v>
      </c>
      <c r="G145" s="299">
        <f t="shared" si="4"/>
        <v>6134.0775</v>
      </c>
    </row>
    <row r="146" spans="3:7" ht="12.75">
      <c r="C146" s="304" t="s">
        <v>234</v>
      </c>
      <c r="D146" s="307">
        <v>0.3236</v>
      </c>
      <c r="E146" s="299">
        <f aca="true" t="shared" si="5" ref="E146:E209">(D146*$J$20)+$J$19</f>
        <v>6729.14</v>
      </c>
      <c r="F146" s="307">
        <v>0.3008</v>
      </c>
      <c r="G146" s="299">
        <f t="shared" si="4"/>
        <v>6808.4400000000005</v>
      </c>
    </row>
    <row r="147" spans="3:7" ht="12.75">
      <c r="C147" s="304" t="s">
        <v>235</v>
      </c>
      <c r="D147" s="307">
        <v>0.2162</v>
      </c>
      <c r="E147" s="299">
        <f t="shared" si="5"/>
        <v>6337.13</v>
      </c>
      <c r="F147" s="307">
        <v>0.2021</v>
      </c>
      <c r="G147" s="299">
        <f t="shared" si="4"/>
        <v>6445.7175</v>
      </c>
    </row>
    <row r="148" spans="3:7" ht="12.75">
      <c r="C148" s="304" t="s">
        <v>236</v>
      </c>
      <c r="D148" s="307">
        <v>0.2997</v>
      </c>
      <c r="E148" s="299">
        <f t="shared" si="5"/>
        <v>6641.905</v>
      </c>
      <c r="F148" s="307">
        <v>0.2747</v>
      </c>
      <c r="G148" s="299">
        <f aca="true" t="shared" si="6" ref="G148:G211">(F148*$K$20)+$K$19</f>
        <v>6712.5225</v>
      </c>
    </row>
    <row r="149" spans="3:7" ht="12.75">
      <c r="C149" s="304" t="s">
        <v>237</v>
      </c>
      <c r="D149" s="307">
        <v>0.2119</v>
      </c>
      <c r="E149" s="299">
        <f t="shared" si="5"/>
        <v>6321.435</v>
      </c>
      <c r="F149" s="307">
        <v>0.2074</v>
      </c>
      <c r="G149" s="299">
        <f t="shared" si="6"/>
        <v>6465.195</v>
      </c>
    </row>
    <row r="150" spans="3:7" ht="12.75">
      <c r="C150" s="304" t="s">
        <v>238</v>
      </c>
      <c r="D150" s="307">
        <v>0.1922</v>
      </c>
      <c r="E150" s="299">
        <f t="shared" si="5"/>
        <v>6249.53</v>
      </c>
      <c r="F150" s="307">
        <v>0.1712</v>
      </c>
      <c r="G150" s="299">
        <f t="shared" si="6"/>
        <v>6332.16</v>
      </c>
    </row>
    <row r="151" spans="3:7" ht="12.75">
      <c r="C151" s="304" t="s">
        <v>239</v>
      </c>
      <c r="D151" s="307">
        <v>0.1942</v>
      </c>
      <c r="E151" s="299">
        <f t="shared" si="5"/>
        <v>6256.83</v>
      </c>
      <c r="F151" s="307">
        <v>0.1942</v>
      </c>
      <c r="G151" s="299">
        <f t="shared" si="6"/>
        <v>6416.685</v>
      </c>
    </row>
    <row r="152" spans="3:7" ht="12.75">
      <c r="C152" s="304" t="s">
        <v>240</v>
      </c>
      <c r="D152" s="307">
        <v>0.1367</v>
      </c>
      <c r="E152" s="299">
        <f t="shared" si="5"/>
        <v>6046.955</v>
      </c>
      <c r="F152" s="307">
        <v>0.1367</v>
      </c>
      <c r="G152" s="299">
        <f t="shared" si="6"/>
        <v>6205.3724999999995</v>
      </c>
    </row>
    <row r="153" spans="3:7" ht="12.75">
      <c r="C153" s="304" t="s">
        <v>241</v>
      </c>
      <c r="D153" s="307">
        <v>0.4423</v>
      </c>
      <c r="E153" s="299">
        <f t="shared" si="5"/>
        <v>7162.395</v>
      </c>
      <c r="F153" s="307">
        <v>0.4299</v>
      </c>
      <c r="G153" s="299">
        <f t="shared" si="6"/>
        <v>7282.8825</v>
      </c>
    </row>
    <row r="154" spans="3:7" ht="12.75">
      <c r="C154" s="304" t="s">
        <v>242</v>
      </c>
      <c r="D154" s="307">
        <v>0.3513</v>
      </c>
      <c r="E154" s="299">
        <f t="shared" si="5"/>
        <v>6830.245</v>
      </c>
      <c r="F154" s="307">
        <v>0.3263</v>
      </c>
      <c r="G154" s="299">
        <f t="shared" si="6"/>
        <v>6902.1525</v>
      </c>
    </row>
    <row r="155" spans="3:7" ht="12.75">
      <c r="C155" s="306" t="s">
        <v>243</v>
      </c>
      <c r="D155" s="307">
        <v>0.2454</v>
      </c>
      <c r="E155" s="299">
        <f t="shared" si="5"/>
        <v>6443.71</v>
      </c>
      <c r="F155" s="307">
        <v>0.2454</v>
      </c>
      <c r="G155" s="299">
        <f t="shared" si="6"/>
        <v>6604.845</v>
      </c>
    </row>
    <row r="156" spans="3:7" ht="12.75">
      <c r="C156" s="304" t="s">
        <v>244</v>
      </c>
      <c r="D156" s="307">
        <v>0.4175</v>
      </c>
      <c r="E156" s="299">
        <f t="shared" si="5"/>
        <v>7071.875</v>
      </c>
      <c r="F156" s="307">
        <v>0.3953</v>
      </c>
      <c r="G156" s="299">
        <f t="shared" si="6"/>
        <v>7155.7275</v>
      </c>
    </row>
    <row r="157" spans="3:7" ht="12.75">
      <c r="C157" s="304" t="s">
        <v>245</v>
      </c>
      <c r="D157" s="307">
        <v>0.0401</v>
      </c>
      <c r="E157" s="299">
        <f t="shared" si="5"/>
        <v>5694.365</v>
      </c>
      <c r="F157" s="307">
        <v>0.039</v>
      </c>
      <c r="G157" s="299">
        <f t="shared" si="6"/>
        <v>5846.325</v>
      </c>
    </row>
    <row r="158" spans="3:7" ht="12.75">
      <c r="C158" s="304" t="s">
        <v>246</v>
      </c>
      <c r="D158" s="307">
        <v>0.1505</v>
      </c>
      <c r="E158" s="299">
        <f t="shared" si="5"/>
        <v>6097.325</v>
      </c>
      <c r="F158" s="307">
        <v>0.1505</v>
      </c>
      <c r="G158" s="299">
        <f t="shared" si="6"/>
        <v>6256.0875</v>
      </c>
    </row>
    <row r="159" spans="3:7" ht="12.75">
      <c r="C159" s="304" t="s">
        <v>247</v>
      </c>
      <c r="D159" s="307">
        <v>0.066</v>
      </c>
      <c r="E159" s="299">
        <f t="shared" si="5"/>
        <v>5788.9</v>
      </c>
      <c r="F159" s="307">
        <v>0.066</v>
      </c>
      <c r="G159" s="299">
        <f t="shared" si="6"/>
        <v>5945.55</v>
      </c>
    </row>
    <row r="160" spans="3:7" ht="12.75">
      <c r="C160" s="304" t="s">
        <v>248</v>
      </c>
      <c r="D160" s="307">
        <v>0.2691</v>
      </c>
      <c r="E160" s="299">
        <f t="shared" si="5"/>
        <v>6530.215</v>
      </c>
      <c r="F160" s="307">
        <v>0.2614</v>
      </c>
      <c r="G160" s="299">
        <f t="shared" si="6"/>
        <v>6663.645</v>
      </c>
    </row>
    <row r="161" spans="3:7" ht="12.75">
      <c r="C161" s="304" t="s">
        <v>249</v>
      </c>
      <c r="D161" s="307">
        <v>0.2112</v>
      </c>
      <c r="E161" s="299">
        <f t="shared" si="5"/>
        <v>6318.88</v>
      </c>
      <c r="F161" s="307">
        <v>0.2112</v>
      </c>
      <c r="G161" s="299">
        <f t="shared" si="6"/>
        <v>6479.16</v>
      </c>
    </row>
    <row r="162" spans="3:7" ht="12.75">
      <c r="C162" s="304" t="s">
        <v>250</v>
      </c>
      <c r="D162" s="307">
        <v>0.1876</v>
      </c>
      <c r="E162" s="299">
        <f t="shared" si="5"/>
        <v>6232.74</v>
      </c>
      <c r="F162" s="307">
        <v>0.1626</v>
      </c>
      <c r="G162" s="299">
        <f t="shared" si="6"/>
        <v>6300.555</v>
      </c>
    </row>
    <row r="163" spans="3:7" ht="12.75">
      <c r="C163" s="304" t="s">
        <v>251</v>
      </c>
      <c r="D163" s="307">
        <v>0.1516</v>
      </c>
      <c r="E163" s="299">
        <f t="shared" si="5"/>
        <v>6101.34</v>
      </c>
      <c r="F163" s="307">
        <v>0.1516</v>
      </c>
      <c r="G163" s="299">
        <f t="shared" si="6"/>
        <v>6260.13</v>
      </c>
    </row>
    <row r="164" spans="3:7" ht="12.75">
      <c r="C164" s="304" t="s">
        <v>252</v>
      </c>
      <c r="D164" s="307">
        <v>0.1156</v>
      </c>
      <c r="E164" s="299">
        <f t="shared" si="5"/>
        <v>5969.94</v>
      </c>
      <c r="F164" s="307">
        <v>0.1156</v>
      </c>
      <c r="G164" s="299">
        <f t="shared" si="6"/>
        <v>6127.83</v>
      </c>
    </row>
    <row r="165" spans="3:7" ht="12.75">
      <c r="C165" s="304" t="s">
        <v>253</v>
      </c>
      <c r="D165" s="307">
        <v>0.1382</v>
      </c>
      <c r="E165" s="299">
        <f t="shared" si="5"/>
        <v>6052.43</v>
      </c>
      <c r="F165" s="307">
        <v>0.1382</v>
      </c>
      <c r="G165" s="299">
        <f t="shared" si="6"/>
        <v>6210.885</v>
      </c>
    </row>
    <row r="166" spans="3:7" ht="12.75">
      <c r="C166" s="304" t="s">
        <v>254</v>
      </c>
      <c r="D166" s="307">
        <v>0.0741</v>
      </c>
      <c r="E166" s="299">
        <f t="shared" si="5"/>
        <v>5818.465</v>
      </c>
      <c r="F166" s="307">
        <v>0.0741</v>
      </c>
      <c r="G166" s="299">
        <f t="shared" si="6"/>
        <v>5975.3175</v>
      </c>
    </row>
    <row r="167" spans="3:7" ht="12.75">
      <c r="C167" s="304" t="s">
        <v>255</v>
      </c>
      <c r="D167" s="307">
        <v>0.456</v>
      </c>
      <c r="E167" s="299">
        <f t="shared" si="5"/>
        <v>7212.4</v>
      </c>
      <c r="F167" s="307">
        <v>0.4375</v>
      </c>
      <c r="G167" s="299">
        <f t="shared" si="6"/>
        <v>7310.8125</v>
      </c>
    </row>
    <row r="168" spans="3:7" ht="12.75">
      <c r="C168" s="304" t="s">
        <v>256</v>
      </c>
      <c r="D168" s="307">
        <v>0.1227</v>
      </c>
      <c r="E168" s="299">
        <f t="shared" si="5"/>
        <v>5995.855</v>
      </c>
      <c r="F168" s="307">
        <v>0.1193</v>
      </c>
      <c r="G168" s="299">
        <f t="shared" si="6"/>
        <v>6141.4275</v>
      </c>
    </row>
    <row r="169" spans="3:7" ht="12.75">
      <c r="C169" s="304" t="s">
        <v>257</v>
      </c>
      <c r="D169" s="307">
        <v>0.1659</v>
      </c>
      <c r="E169" s="299">
        <f t="shared" si="5"/>
        <v>6153.535</v>
      </c>
      <c r="F169" s="307">
        <v>0.1648</v>
      </c>
      <c r="G169" s="299">
        <f t="shared" si="6"/>
        <v>6308.64</v>
      </c>
    </row>
    <row r="170" spans="3:7" ht="12.75">
      <c r="C170" s="304" t="s">
        <v>258</v>
      </c>
      <c r="D170" s="307">
        <v>0.268</v>
      </c>
      <c r="E170" s="299">
        <f t="shared" si="5"/>
        <v>6526.2</v>
      </c>
      <c r="F170" s="307">
        <v>0.2545</v>
      </c>
      <c r="G170" s="299">
        <f t="shared" si="6"/>
        <v>6638.2875</v>
      </c>
    </row>
    <row r="171" spans="3:7" ht="12.75">
      <c r="C171" s="304" t="s">
        <v>259</v>
      </c>
      <c r="D171" s="307">
        <v>0.1058</v>
      </c>
      <c r="E171" s="299">
        <f t="shared" si="5"/>
        <v>5934.17</v>
      </c>
      <c r="F171" s="307">
        <v>0.0898</v>
      </c>
      <c r="G171" s="299">
        <f t="shared" si="6"/>
        <v>6033.015</v>
      </c>
    </row>
    <row r="172" spans="3:7" ht="12.75">
      <c r="C172" s="304" t="s">
        <v>260</v>
      </c>
      <c r="D172" s="307">
        <v>0.0932</v>
      </c>
      <c r="E172" s="299">
        <f t="shared" si="5"/>
        <v>5888.18</v>
      </c>
      <c r="F172" s="307">
        <v>0.0932</v>
      </c>
      <c r="G172" s="299">
        <f t="shared" si="6"/>
        <v>6045.51</v>
      </c>
    </row>
    <row r="173" spans="3:7" ht="12.75">
      <c r="C173" s="304" t="s">
        <v>261</v>
      </c>
      <c r="D173" s="307">
        <v>0.0664</v>
      </c>
      <c r="E173" s="299">
        <f t="shared" si="5"/>
        <v>5790.36</v>
      </c>
      <c r="F173" s="307">
        <v>0.0664</v>
      </c>
      <c r="G173" s="299">
        <f t="shared" si="6"/>
        <v>5947.02</v>
      </c>
    </row>
    <row r="174" spans="3:7" ht="12.75">
      <c r="C174" s="304" t="s">
        <v>262</v>
      </c>
      <c r="D174" s="307">
        <v>0.185</v>
      </c>
      <c r="E174" s="299">
        <f t="shared" si="5"/>
        <v>6223.25</v>
      </c>
      <c r="F174" s="307">
        <v>0.185</v>
      </c>
      <c r="G174" s="299">
        <f t="shared" si="6"/>
        <v>6382.875</v>
      </c>
    </row>
    <row r="175" spans="3:7" ht="12.75">
      <c r="C175" s="304" t="s">
        <v>263</v>
      </c>
      <c r="D175" s="307">
        <v>0.235</v>
      </c>
      <c r="E175" s="299">
        <f t="shared" si="5"/>
        <v>6405.75</v>
      </c>
      <c r="F175" s="307">
        <v>0.2258</v>
      </c>
      <c r="G175" s="299">
        <f t="shared" si="6"/>
        <v>6532.8150000000005</v>
      </c>
    </row>
    <row r="176" spans="3:7" ht="12.75">
      <c r="C176" s="304" t="s">
        <v>264</v>
      </c>
      <c r="D176" s="307">
        <v>0.1253</v>
      </c>
      <c r="E176" s="299">
        <f t="shared" si="5"/>
        <v>6005.345</v>
      </c>
      <c r="F176" s="307">
        <v>0.1253</v>
      </c>
      <c r="G176" s="299">
        <f t="shared" si="6"/>
        <v>6163.4775</v>
      </c>
    </row>
    <row r="177" spans="3:7" ht="12.75">
      <c r="C177" s="304" t="s">
        <v>265</v>
      </c>
      <c r="D177" s="307">
        <v>0.2272</v>
      </c>
      <c r="E177" s="299">
        <f t="shared" si="5"/>
        <v>6377.28</v>
      </c>
      <c r="F177" s="307">
        <v>0.2098</v>
      </c>
      <c r="G177" s="299">
        <f t="shared" si="6"/>
        <v>6474.015</v>
      </c>
    </row>
    <row r="178" spans="3:7" ht="12.75">
      <c r="C178" s="304" t="s">
        <v>266</v>
      </c>
      <c r="D178" s="307">
        <v>0.1461</v>
      </c>
      <c r="E178" s="299">
        <f t="shared" si="5"/>
        <v>6081.265</v>
      </c>
      <c r="F178" s="307">
        <v>0.1282</v>
      </c>
      <c r="G178" s="299">
        <f t="shared" si="6"/>
        <v>6174.135</v>
      </c>
    </row>
    <row r="179" spans="3:7" ht="12.75">
      <c r="C179" s="304" t="s">
        <v>267</v>
      </c>
      <c r="D179" s="307">
        <v>0.2719</v>
      </c>
      <c r="E179" s="299">
        <f t="shared" si="5"/>
        <v>6540.4349999999995</v>
      </c>
      <c r="F179" s="307">
        <v>0.2719</v>
      </c>
      <c r="G179" s="299">
        <f t="shared" si="6"/>
        <v>6702.2325</v>
      </c>
    </row>
    <row r="180" spans="3:7" ht="12.75">
      <c r="C180" s="304" t="s">
        <v>268</v>
      </c>
      <c r="D180" s="307">
        <v>0.2439</v>
      </c>
      <c r="E180" s="299">
        <f t="shared" si="5"/>
        <v>6438.235</v>
      </c>
      <c r="F180" s="307">
        <v>0.2189</v>
      </c>
      <c r="G180" s="299">
        <f t="shared" si="6"/>
        <v>6507.4575</v>
      </c>
    </row>
    <row r="181" spans="3:7" ht="12.75">
      <c r="C181" s="304" t="s">
        <v>269</v>
      </c>
      <c r="D181" s="307">
        <v>0.1642</v>
      </c>
      <c r="E181" s="299">
        <f t="shared" si="5"/>
        <v>6147.33</v>
      </c>
      <c r="F181" s="307">
        <v>0.1632</v>
      </c>
      <c r="G181" s="299">
        <f t="shared" si="6"/>
        <v>6302.76</v>
      </c>
    </row>
    <row r="182" spans="3:7" ht="12.75">
      <c r="C182" s="305" t="s">
        <v>270</v>
      </c>
      <c r="D182" s="307">
        <v>0.1072</v>
      </c>
      <c r="E182" s="299">
        <f t="shared" si="5"/>
        <v>5939.28</v>
      </c>
      <c r="F182" s="307">
        <v>0.1037</v>
      </c>
      <c r="G182" s="299">
        <f t="shared" si="6"/>
        <v>6084.0975</v>
      </c>
    </row>
    <row r="183" spans="3:7" ht="12.75">
      <c r="C183" s="304" t="s">
        <v>271</v>
      </c>
      <c r="D183" s="307">
        <v>0.1111</v>
      </c>
      <c r="E183" s="299">
        <f t="shared" si="5"/>
        <v>5953.515</v>
      </c>
      <c r="F183" s="307">
        <v>0.1111</v>
      </c>
      <c r="G183" s="299">
        <f t="shared" si="6"/>
        <v>6111.2925</v>
      </c>
    </row>
    <row r="184" spans="3:7" ht="12.75">
      <c r="C184" s="304" t="s">
        <v>272</v>
      </c>
      <c r="D184" s="307">
        <v>0.1702</v>
      </c>
      <c r="E184" s="299">
        <f t="shared" si="5"/>
        <v>6169.23</v>
      </c>
      <c r="F184" s="307">
        <v>0.1595</v>
      </c>
      <c r="G184" s="299">
        <f t="shared" si="6"/>
        <v>6289.1625</v>
      </c>
    </row>
    <row r="185" spans="3:7" ht="12.75">
      <c r="C185" s="304" t="s">
        <v>273</v>
      </c>
      <c r="D185" s="307">
        <v>0.1433</v>
      </c>
      <c r="E185" s="299">
        <f t="shared" si="5"/>
        <v>6071.045</v>
      </c>
      <c r="F185" s="307">
        <v>0.1338</v>
      </c>
      <c r="G185" s="299">
        <f t="shared" si="6"/>
        <v>6194.715</v>
      </c>
    </row>
    <row r="186" spans="3:7" ht="12.75">
      <c r="C186" s="304" t="s">
        <v>274</v>
      </c>
      <c r="D186" s="307">
        <v>0.086</v>
      </c>
      <c r="E186" s="299">
        <f t="shared" si="5"/>
        <v>5861.9</v>
      </c>
      <c r="F186" s="307">
        <v>0.086</v>
      </c>
      <c r="G186" s="299">
        <f t="shared" si="6"/>
        <v>6019.05</v>
      </c>
    </row>
    <row r="187" spans="3:7" ht="12.75">
      <c r="C187" s="304" t="s">
        <v>275</v>
      </c>
      <c r="D187" s="307">
        <v>0.2032</v>
      </c>
      <c r="E187" s="299">
        <f t="shared" si="5"/>
        <v>6289.68</v>
      </c>
      <c r="F187" s="307">
        <v>0.1782</v>
      </c>
      <c r="G187" s="299">
        <f t="shared" si="6"/>
        <v>6357.885</v>
      </c>
    </row>
    <row r="188" spans="3:7" ht="12.75">
      <c r="C188" s="304" t="s">
        <v>276</v>
      </c>
      <c r="D188" s="307">
        <v>0.0419</v>
      </c>
      <c r="E188" s="299">
        <f t="shared" si="5"/>
        <v>5700.935</v>
      </c>
      <c r="F188" s="307">
        <v>0.0419</v>
      </c>
      <c r="G188" s="299">
        <f t="shared" si="6"/>
        <v>5856.9825</v>
      </c>
    </row>
    <row r="189" spans="3:7" ht="12.75">
      <c r="C189" s="304" t="s">
        <v>277</v>
      </c>
      <c r="D189" s="307">
        <v>0.1555</v>
      </c>
      <c r="E189" s="299">
        <f t="shared" si="5"/>
        <v>6115.575</v>
      </c>
      <c r="F189" s="307">
        <v>0.1528</v>
      </c>
      <c r="G189" s="299">
        <f t="shared" si="6"/>
        <v>6264.54</v>
      </c>
    </row>
    <row r="190" spans="3:7" ht="12.75">
      <c r="C190" s="304" t="s">
        <v>278</v>
      </c>
      <c r="D190" s="307">
        <v>0.0391</v>
      </c>
      <c r="E190" s="299">
        <f t="shared" si="5"/>
        <v>5690.715</v>
      </c>
      <c r="F190" s="307">
        <v>0.0391</v>
      </c>
      <c r="G190" s="299">
        <f t="shared" si="6"/>
        <v>5846.6925</v>
      </c>
    </row>
    <row r="191" spans="3:7" ht="12.75">
      <c r="C191" s="305" t="s">
        <v>279</v>
      </c>
      <c r="D191" s="307">
        <v>0.2201</v>
      </c>
      <c r="E191" s="299">
        <f t="shared" si="5"/>
        <v>6351.365</v>
      </c>
      <c r="F191" s="307">
        <v>0.2201</v>
      </c>
      <c r="G191" s="299">
        <f t="shared" si="6"/>
        <v>6511.8675</v>
      </c>
    </row>
    <row r="192" spans="3:7" ht="12.75">
      <c r="C192" s="304" t="s">
        <v>280</v>
      </c>
      <c r="D192" s="307">
        <v>0.1242</v>
      </c>
      <c r="E192" s="299">
        <f t="shared" si="5"/>
        <v>6001.33</v>
      </c>
      <c r="F192" s="307">
        <v>0.1242</v>
      </c>
      <c r="G192" s="299">
        <f t="shared" si="6"/>
        <v>6159.435</v>
      </c>
    </row>
    <row r="193" spans="3:7" ht="12.75">
      <c r="C193" s="304" t="s">
        <v>281</v>
      </c>
      <c r="D193" s="307">
        <v>0.072</v>
      </c>
      <c r="E193" s="299">
        <f t="shared" si="5"/>
        <v>5810.8</v>
      </c>
      <c r="F193" s="307">
        <v>0.0703</v>
      </c>
      <c r="G193" s="299">
        <f t="shared" si="6"/>
        <v>5961.3525</v>
      </c>
    </row>
    <row r="194" spans="3:7" ht="12.75">
      <c r="C194" s="304" t="s">
        <v>282</v>
      </c>
      <c r="D194" s="307">
        <v>0.0354</v>
      </c>
      <c r="E194" s="299">
        <f t="shared" si="5"/>
        <v>5677.21</v>
      </c>
      <c r="F194" s="307">
        <v>0.0354</v>
      </c>
      <c r="G194" s="299">
        <f t="shared" si="6"/>
        <v>5833.095</v>
      </c>
    </row>
    <row r="195" spans="3:7" ht="12.75">
      <c r="C195" s="304" t="s">
        <v>283</v>
      </c>
      <c r="D195" s="307">
        <v>0.105</v>
      </c>
      <c r="E195" s="299">
        <f t="shared" si="5"/>
        <v>5931.25</v>
      </c>
      <c r="F195" s="307">
        <v>0.105</v>
      </c>
      <c r="G195" s="299">
        <f t="shared" si="6"/>
        <v>6088.875</v>
      </c>
    </row>
    <row r="196" spans="3:7" ht="12.75">
      <c r="C196" s="304" t="s">
        <v>284</v>
      </c>
      <c r="D196" s="307">
        <v>0.0754</v>
      </c>
      <c r="E196" s="299">
        <f t="shared" si="5"/>
        <v>5823.21</v>
      </c>
      <c r="F196" s="307">
        <v>0.0754</v>
      </c>
      <c r="G196" s="299">
        <f t="shared" si="6"/>
        <v>5980.095</v>
      </c>
    </row>
    <row r="197" spans="3:7" ht="12.75">
      <c r="C197" s="304" t="s">
        <v>285</v>
      </c>
      <c r="D197" s="307">
        <v>0.1385</v>
      </c>
      <c r="E197" s="299">
        <f t="shared" si="5"/>
        <v>6053.525</v>
      </c>
      <c r="F197" s="307">
        <v>0.124</v>
      </c>
      <c r="G197" s="299">
        <f t="shared" si="6"/>
        <v>6158.7</v>
      </c>
    </row>
    <row r="198" spans="3:7" ht="12.75">
      <c r="C198" s="305" t="s">
        <v>286</v>
      </c>
      <c r="D198" s="307">
        <v>0.2259</v>
      </c>
      <c r="E198" s="299">
        <f t="shared" si="5"/>
        <v>6372.535</v>
      </c>
      <c r="F198" s="307">
        <v>0.2189</v>
      </c>
      <c r="G198" s="299">
        <f t="shared" si="6"/>
        <v>6507.4575</v>
      </c>
    </row>
    <row r="199" spans="3:7" ht="12.75">
      <c r="C199" s="305" t="s">
        <v>287</v>
      </c>
      <c r="D199" s="307">
        <v>0.1895</v>
      </c>
      <c r="E199" s="299">
        <f t="shared" si="5"/>
        <v>6239.675</v>
      </c>
      <c r="F199" s="307">
        <v>0.1895</v>
      </c>
      <c r="G199" s="299">
        <f t="shared" si="6"/>
        <v>6399.4125</v>
      </c>
    </row>
    <row r="200" spans="3:7" ht="12.75">
      <c r="C200" s="304" t="s">
        <v>288</v>
      </c>
      <c r="D200" s="307">
        <v>0.2131</v>
      </c>
      <c r="E200" s="299">
        <f t="shared" si="5"/>
        <v>6325.8150000000005</v>
      </c>
      <c r="F200" s="307">
        <v>0.2063</v>
      </c>
      <c r="G200" s="299">
        <f t="shared" si="6"/>
        <v>6461.1525</v>
      </c>
    </row>
    <row r="201" spans="3:7" ht="12.75">
      <c r="C201" s="304" t="s">
        <v>289</v>
      </c>
      <c r="D201" s="307">
        <v>0.0702</v>
      </c>
      <c r="E201" s="299">
        <f t="shared" si="5"/>
        <v>5804.23</v>
      </c>
      <c r="F201" s="307">
        <v>0.0702</v>
      </c>
      <c r="G201" s="299">
        <f t="shared" si="6"/>
        <v>5960.985</v>
      </c>
    </row>
    <row r="202" spans="3:7" ht="12.75">
      <c r="C202" s="304" t="s">
        <v>290</v>
      </c>
      <c r="D202" s="307">
        <v>0.1355</v>
      </c>
      <c r="E202" s="299">
        <f t="shared" si="5"/>
        <v>6042.575</v>
      </c>
      <c r="F202" s="307">
        <v>0.1355</v>
      </c>
      <c r="G202" s="299">
        <f t="shared" si="6"/>
        <v>6200.9625</v>
      </c>
    </row>
    <row r="203" spans="3:7" ht="12.75">
      <c r="C203" s="304" t="s">
        <v>291</v>
      </c>
      <c r="D203" s="307">
        <v>0.257</v>
      </c>
      <c r="E203" s="299">
        <f t="shared" si="5"/>
        <v>6486.05</v>
      </c>
      <c r="F203" s="307">
        <v>0.238</v>
      </c>
      <c r="G203" s="299">
        <f t="shared" si="6"/>
        <v>6577.65</v>
      </c>
    </row>
    <row r="204" spans="3:7" ht="12.75">
      <c r="C204" s="304" t="s">
        <v>292</v>
      </c>
      <c r="D204" s="307">
        <v>0.1488</v>
      </c>
      <c r="E204" s="299">
        <f t="shared" si="5"/>
        <v>6091.12</v>
      </c>
      <c r="F204" s="307">
        <v>0.1488</v>
      </c>
      <c r="G204" s="299">
        <f t="shared" si="6"/>
        <v>6249.84</v>
      </c>
    </row>
    <row r="205" spans="3:7" ht="12.75">
      <c r="C205" s="304" t="s">
        <v>293</v>
      </c>
      <c r="D205" s="307">
        <v>0.1157</v>
      </c>
      <c r="E205" s="299">
        <f t="shared" si="5"/>
        <v>5970.305</v>
      </c>
      <c r="F205" s="307">
        <v>0.1157</v>
      </c>
      <c r="G205" s="299">
        <f t="shared" si="6"/>
        <v>6128.1975</v>
      </c>
    </row>
    <row r="206" spans="3:7" ht="12.75">
      <c r="C206" s="304" t="s">
        <v>294</v>
      </c>
      <c r="D206" s="307">
        <v>0.0718</v>
      </c>
      <c r="E206" s="299">
        <f t="shared" si="5"/>
        <v>5810.07</v>
      </c>
      <c r="F206" s="307">
        <v>0.0714</v>
      </c>
      <c r="G206" s="299">
        <f t="shared" si="6"/>
        <v>5965.395</v>
      </c>
    </row>
    <row r="207" spans="3:7" ht="12.75">
      <c r="C207" s="304" t="s">
        <v>295</v>
      </c>
      <c r="D207" s="307">
        <v>0.1268</v>
      </c>
      <c r="E207" s="299">
        <f t="shared" si="5"/>
        <v>6010.82</v>
      </c>
      <c r="F207" s="307">
        <v>0.1242</v>
      </c>
      <c r="G207" s="299">
        <f t="shared" si="6"/>
        <v>6159.435</v>
      </c>
    </row>
    <row r="208" spans="3:7" ht="12.75">
      <c r="C208" s="304" t="s">
        <v>296</v>
      </c>
      <c r="D208" s="307">
        <v>0.1987</v>
      </c>
      <c r="E208" s="299">
        <f t="shared" si="5"/>
        <v>6273.255</v>
      </c>
      <c r="F208" s="307">
        <v>0.1896</v>
      </c>
      <c r="G208" s="299">
        <f t="shared" si="6"/>
        <v>6399.78</v>
      </c>
    </row>
    <row r="209" spans="3:7" ht="12.75">
      <c r="C209" s="304" t="s">
        <v>297</v>
      </c>
      <c r="D209" s="307">
        <v>0.0537</v>
      </c>
      <c r="E209" s="299">
        <f t="shared" si="5"/>
        <v>5744.005</v>
      </c>
      <c r="F209" s="307">
        <v>0.0537</v>
      </c>
      <c r="G209" s="299">
        <f t="shared" si="6"/>
        <v>5900.3475</v>
      </c>
    </row>
    <row r="210" spans="3:7" ht="12.75">
      <c r="C210" s="306" t="s">
        <v>298</v>
      </c>
      <c r="D210" s="307">
        <v>0.1275</v>
      </c>
      <c r="E210" s="299">
        <f aca="true" t="shared" si="7" ref="E210:E273">(D210*$J$20)+$J$19</f>
        <v>6013.375</v>
      </c>
      <c r="F210" s="307">
        <v>0.1275</v>
      </c>
      <c r="G210" s="299">
        <f t="shared" si="6"/>
        <v>6171.5625</v>
      </c>
    </row>
    <row r="211" spans="3:7" ht="12.75">
      <c r="C211" s="304" t="s">
        <v>299</v>
      </c>
      <c r="D211" s="307">
        <v>0.203</v>
      </c>
      <c r="E211" s="299">
        <f t="shared" si="7"/>
        <v>6288.95</v>
      </c>
      <c r="F211" s="307">
        <v>0.1999</v>
      </c>
      <c r="G211" s="299">
        <f t="shared" si="6"/>
        <v>6437.6325</v>
      </c>
    </row>
    <row r="212" spans="3:7" ht="12.75">
      <c r="C212" s="304" t="s">
        <v>300</v>
      </c>
      <c r="D212" s="307">
        <v>0.2454</v>
      </c>
      <c r="E212" s="299">
        <f t="shared" si="7"/>
        <v>6443.71</v>
      </c>
      <c r="F212" s="307">
        <v>0.2244</v>
      </c>
      <c r="G212" s="299">
        <f aca="true" t="shared" si="8" ref="G212:G275">(F212*$K$20)+$K$19</f>
        <v>6527.67</v>
      </c>
    </row>
    <row r="213" spans="3:7" ht="12.75">
      <c r="C213" s="305" t="s">
        <v>301</v>
      </c>
      <c r="D213" s="307">
        <v>0.2036</v>
      </c>
      <c r="E213" s="299">
        <f t="shared" si="7"/>
        <v>6291.14</v>
      </c>
      <c r="F213" s="307">
        <v>0.1804</v>
      </c>
      <c r="G213" s="299">
        <f t="shared" si="8"/>
        <v>6365.97</v>
      </c>
    </row>
    <row r="214" spans="3:7" ht="12.75">
      <c r="C214" s="304" t="s">
        <v>302</v>
      </c>
      <c r="D214" s="307">
        <v>0.1844</v>
      </c>
      <c r="E214" s="299">
        <f t="shared" si="7"/>
        <v>6221.06</v>
      </c>
      <c r="F214" s="307">
        <v>0.1802</v>
      </c>
      <c r="G214" s="299">
        <f t="shared" si="8"/>
        <v>6365.235</v>
      </c>
    </row>
    <row r="215" spans="3:7" ht="12.75">
      <c r="C215" s="304" t="s">
        <v>303</v>
      </c>
      <c r="D215" s="307">
        <v>0.1182</v>
      </c>
      <c r="E215" s="299">
        <f t="shared" si="7"/>
        <v>5979.43</v>
      </c>
      <c r="F215" s="307">
        <v>0.1023</v>
      </c>
      <c r="G215" s="299">
        <f t="shared" si="8"/>
        <v>6078.9525</v>
      </c>
    </row>
    <row r="216" spans="3:7" ht="12.75">
      <c r="C216" s="304" t="s">
        <v>304</v>
      </c>
      <c r="D216" s="307">
        <v>0.3742</v>
      </c>
      <c r="E216" s="299">
        <f t="shared" si="7"/>
        <v>6913.83</v>
      </c>
      <c r="F216" s="307">
        <v>0.3492</v>
      </c>
      <c r="G216" s="299">
        <f t="shared" si="8"/>
        <v>6986.3099999999995</v>
      </c>
    </row>
    <row r="217" spans="3:7" ht="12.75">
      <c r="C217" s="304" t="s">
        <v>305</v>
      </c>
      <c r="D217" s="307">
        <v>0.128</v>
      </c>
      <c r="E217" s="299">
        <f t="shared" si="7"/>
        <v>6015.2</v>
      </c>
      <c r="F217" s="307">
        <v>0.128</v>
      </c>
      <c r="G217" s="299">
        <f t="shared" si="8"/>
        <v>6173.4</v>
      </c>
    </row>
    <row r="218" spans="3:7" ht="12.75">
      <c r="C218" s="306" t="s">
        <v>306</v>
      </c>
      <c r="D218" s="307">
        <v>0.3915</v>
      </c>
      <c r="E218" s="299">
        <f t="shared" si="7"/>
        <v>6976.975</v>
      </c>
      <c r="F218" s="307">
        <v>0.3915</v>
      </c>
      <c r="G218" s="299">
        <f t="shared" si="8"/>
        <v>7141.7625</v>
      </c>
    </row>
    <row r="219" spans="3:7" ht="12.75">
      <c r="C219" s="304" t="s">
        <v>307</v>
      </c>
      <c r="D219" s="307">
        <v>0.1874</v>
      </c>
      <c r="E219" s="299">
        <f t="shared" si="7"/>
        <v>6232.01</v>
      </c>
      <c r="F219" s="307">
        <v>0.1624</v>
      </c>
      <c r="G219" s="299">
        <f t="shared" si="8"/>
        <v>6299.82</v>
      </c>
    </row>
    <row r="220" spans="3:7" ht="12.75">
      <c r="C220" s="304" t="s">
        <v>308</v>
      </c>
      <c r="D220" s="307">
        <v>0.0868</v>
      </c>
      <c r="E220" s="299">
        <f t="shared" si="7"/>
        <v>5864.82</v>
      </c>
      <c r="F220" s="307">
        <v>0.0794</v>
      </c>
      <c r="G220" s="299">
        <f t="shared" si="8"/>
        <v>5994.795</v>
      </c>
    </row>
    <row r="221" spans="3:7" ht="12.75">
      <c r="C221" s="304" t="s">
        <v>309</v>
      </c>
      <c r="D221" s="307">
        <v>0.1597</v>
      </c>
      <c r="E221" s="299">
        <f t="shared" si="7"/>
        <v>6130.905</v>
      </c>
      <c r="F221" s="307">
        <v>0.1597</v>
      </c>
      <c r="G221" s="299">
        <f t="shared" si="8"/>
        <v>6289.8975</v>
      </c>
    </row>
    <row r="222" spans="3:7" ht="12.75">
      <c r="C222" s="304" t="s">
        <v>310</v>
      </c>
      <c r="D222" s="307">
        <v>0.2038</v>
      </c>
      <c r="E222" s="299">
        <f t="shared" si="7"/>
        <v>6291.87</v>
      </c>
      <c r="F222" s="307">
        <v>0.1788</v>
      </c>
      <c r="G222" s="299">
        <f t="shared" si="8"/>
        <v>6360.09</v>
      </c>
    </row>
    <row r="223" spans="3:7" ht="12.75">
      <c r="C223" s="306" t="s">
        <v>311</v>
      </c>
      <c r="D223" s="307">
        <v>0.5459</v>
      </c>
      <c r="E223" s="299">
        <f t="shared" si="7"/>
        <v>7540.535</v>
      </c>
      <c r="F223" s="307">
        <v>0.5209</v>
      </c>
      <c r="G223" s="299">
        <f t="shared" si="8"/>
        <v>7617.3075</v>
      </c>
    </row>
    <row r="224" spans="3:7" ht="12.75">
      <c r="C224" s="306" t="s">
        <v>312</v>
      </c>
      <c r="D224" s="307">
        <v>0.368</v>
      </c>
      <c r="E224" s="299">
        <f t="shared" si="7"/>
        <v>6891.2</v>
      </c>
      <c r="F224" s="307">
        <v>0.343</v>
      </c>
      <c r="G224" s="299">
        <f t="shared" si="8"/>
        <v>6963.525</v>
      </c>
    </row>
    <row r="225" spans="3:7" ht="12.75">
      <c r="C225" s="304" t="s">
        <v>313</v>
      </c>
      <c r="D225" s="307">
        <v>0.1729</v>
      </c>
      <c r="E225" s="299">
        <f t="shared" si="7"/>
        <v>6179.085</v>
      </c>
      <c r="F225" s="307">
        <v>0.1729</v>
      </c>
      <c r="G225" s="299">
        <f t="shared" si="8"/>
        <v>6338.4075</v>
      </c>
    </row>
    <row r="226" spans="3:7" ht="12.75">
      <c r="C226" s="304" t="s">
        <v>314</v>
      </c>
      <c r="D226" s="307">
        <v>0.2675</v>
      </c>
      <c r="E226" s="299">
        <f t="shared" si="7"/>
        <v>6524.375</v>
      </c>
      <c r="F226" s="307">
        <v>0.2606</v>
      </c>
      <c r="G226" s="299">
        <f t="shared" si="8"/>
        <v>6660.705</v>
      </c>
    </row>
    <row r="227" spans="3:7" ht="12.75">
      <c r="C227" s="304" t="s">
        <v>315</v>
      </c>
      <c r="D227" s="307">
        <v>0.1302</v>
      </c>
      <c r="E227" s="299">
        <f t="shared" si="7"/>
        <v>6023.23</v>
      </c>
      <c r="F227" s="307">
        <v>0.1302</v>
      </c>
      <c r="G227" s="299">
        <f t="shared" si="8"/>
        <v>6181.485</v>
      </c>
    </row>
    <row r="228" spans="3:7" ht="12.75">
      <c r="C228" s="304" t="s">
        <v>316</v>
      </c>
      <c r="D228" s="307">
        <v>0.049</v>
      </c>
      <c r="E228" s="299">
        <f t="shared" si="7"/>
        <v>5726.85</v>
      </c>
      <c r="F228" s="307">
        <v>0.049</v>
      </c>
      <c r="G228" s="299">
        <f t="shared" si="8"/>
        <v>5883.075</v>
      </c>
    </row>
    <row r="229" spans="3:7" ht="12.75">
      <c r="C229" s="304" t="s">
        <v>317</v>
      </c>
      <c r="D229" s="307">
        <v>0.232</v>
      </c>
      <c r="E229" s="299">
        <f t="shared" si="7"/>
        <v>6394.8</v>
      </c>
      <c r="F229" s="307">
        <v>0.207</v>
      </c>
      <c r="G229" s="299">
        <f t="shared" si="8"/>
        <v>6463.725</v>
      </c>
    </row>
    <row r="230" spans="3:7" ht="12.75">
      <c r="C230" s="304" t="s">
        <v>318</v>
      </c>
      <c r="D230" s="307">
        <v>0.2573</v>
      </c>
      <c r="E230" s="299">
        <f t="shared" si="7"/>
        <v>6487.1449999999995</v>
      </c>
      <c r="F230" s="307">
        <v>0.2455</v>
      </c>
      <c r="G230" s="299">
        <f t="shared" si="8"/>
        <v>6605.2125</v>
      </c>
    </row>
    <row r="231" spans="3:7" ht="12.75">
      <c r="C231" s="304" t="s">
        <v>319</v>
      </c>
      <c r="D231" s="307">
        <v>0.2113</v>
      </c>
      <c r="E231" s="299">
        <f t="shared" si="7"/>
        <v>6319.245</v>
      </c>
      <c r="F231" s="307">
        <v>0.1875</v>
      </c>
      <c r="G231" s="299">
        <f t="shared" si="8"/>
        <v>6392.0625</v>
      </c>
    </row>
    <row r="232" spans="3:7" ht="12.75">
      <c r="C232" s="304" t="s">
        <v>320</v>
      </c>
      <c r="D232" s="307">
        <v>0.1604</v>
      </c>
      <c r="E232" s="299">
        <f t="shared" si="7"/>
        <v>6133.46</v>
      </c>
      <c r="F232" s="307">
        <v>0.1354</v>
      </c>
      <c r="G232" s="299">
        <f t="shared" si="8"/>
        <v>6200.595</v>
      </c>
    </row>
    <row r="233" spans="3:7" ht="12.75">
      <c r="C233" s="304" t="s">
        <v>321</v>
      </c>
      <c r="D233" s="307">
        <v>0.113</v>
      </c>
      <c r="E233" s="299">
        <f t="shared" si="7"/>
        <v>5960.45</v>
      </c>
      <c r="F233" s="307">
        <v>0.113</v>
      </c>
      <c r="G233" s="299">
        <f t="shared" si="8"/>
        <v>6118.275</v>
      </c>
    </row>
    <row r="234" spans="3:7" ht="12.75">
      <c r="C234" s="304" t="s">
        <v>322</v>
      </c>
      <c r="D234" s="307">
        <v>0.1854</v>
      </c>
      <c r="E234" s="299">
        <f t="shared" si="7"/>
        <v>6224.71</v>
      </c>
      <c r="F234" s="307">
        <v>0.1746</v>
      </c>
      <c r="G234" s="299">
        <f t="shared" si="8"/>
        <v>6344.655</v>
      </c>
    </row>
    <row r="235" spans="3:7" ht="12.75">
      <c r="C235" s="304" t="s">
        <v>323</v>
      </c>
      <c r="D235" s="307">
        <v>0.1333</v>
      </c>
      <c r="E235" s="299">
        <f t="shared" si="7"/>
        <v>6034.545</v>
      </c>
      <c r="F235" s="307">
        <v>0.1333</v>
      </c>
      <c r="G235" s="299">
        <f t="shared" si="8"/>
        <v>6192.8775</v>
      </c>
    </row>
    <row r="236" spans="3:7" ht="12.75">
      <c r="C236" s="304" t="s">
        <v>324</v>
      </c>
      <c r="D236" s="307">
        <v>0.1126</v>
      </c>
      <c r="E236" s="299">
        <f t="shared" si="7"/>
        <v>5958.99</v>
      </c>
      <c r="F236" s="307">
        <v>0.1126</v>
      </c>
      <c r="G236" s="299">
        <f t="shared" si="8"/>
        <v>6116.805</v>
      </c>
    </row>
    <row r="237" spans="3:7" ht="12.75">
      <c r="C237" s="304" t="s">
        <v>325</v>
      </c>
      <c r="D237" s="307">
        <v>0.1934</v>
      </c>
      <c r="E237" s="299">
        <f t="shared" si="7"/>
        <v>6253.91</v>
      </c>
      <c r="F237" s="307">
        <v>0.1863</v>
      </c>
      <c r="G237" s="299">
        <f t="shared" si="8"/>
        <v>6387.6525</v>
      </c>
    </row>
    <row r="238" spans="3:7" ht="12.75">
      <c r="C238" s="304" t="s">
        <v>326</v>
      </c>
      <c r="D238" s="307">
        <v>0.0632</v>
      </c>
      <c r="E238" s="299">
        <f t="shared" si="7"/>
        <v>5778.68</v>
      </c>
      <c r="F238" s="307">
        <v>0.0632</v>
      </c>
      <c r="G238" s="299">
        <f t="shared" si="8"/>
        <v>5935.26</v>
      </c>
    </row>
    <row r="239" spans="3:7" ht="12.75">
      <c r="C239" s="304" t="s">
        <v>327</v>
      </c>
      <c r="D239" s="307">
        <v>0.1363</v>
      </c>
      <c r="E239" s="299">
        <f t="shared" si="7"/>
        <v>6045.495</v>
      </c>
      <c r="F239" s="307">
        <v>0.1361</v>
      </c>
      <c r="G239" s="299">
        <f t="shared" si="8"/>
        <v>6203.1675</v>
      </c>
    </row>
    <row r="240" spans="3:7" ht="12.75">
      <c r="C240" s="304" t="s">
        <v>328</v>
      </c>
      <c r="D240" s="307">
        <v>0.3611</v>
      </c>
      <c r="E240" s="299">
        <f t="shared" si="7"/>
        <v>6866.014999999999</v>
      </c>
      <c r="F240" s="307">
        <v>0.3425</v>
      </c>
      <c r="G240" s="299">
        <f t="shared" si="8"/>
        <v>6961.6875</v>
      </c>
    </row>
    <row r="241" spans="3:7" ht="12.75">
      <c r="C241" s="305" t="s">
        <v>329</v>
      </c>
      <c r="D241" s="307">
        <v>0.088</v>
      </c>
      <c r="E241" s="299">
        <f t="shared" si="7"/>
        <v>5869.2</v>
      </c>
      <c r="F241" s="307">
        <v>0.088</v>
      </c>
      <c r="G241" s="299">
        <f t="shared" si="8"/>
        <v>6026.4</v>
      </c>
    </row>
    <row r="242" spans="3:7" ht="12.75">
      <c r="C242" s="304" t="s">
        <v>330</v>
      </c>
      <c r="D242" s="307">
        <v>0.1904</v>
      </c>
      <c r="E242" s="299">
        <f t="shared" si="7"/>
        <v>6242.96</v>
      </c>
      <c r="F242" s="307">
        <v>0.1904</v>
      </c>
      <c r="G242" s="299">
        <f t="shared" si="8"/>
        <v>6402.72</v>
      </c>
    </row>
    <row r="243" spans="3:7" ht="12.75">
      <c r="C243" s="304" t="s">
        <v>331</v>
      </c>
      <c r="D243" s="307">
        <v>0.0826</v>
      </c>
      <c r="E243" s="299">
        <f t="shared" si="7"/>
        <v>5849.49</v>
      </c>
      <c r="F243" s="307">
        <v>0.0826</v>
      </c>
      <c r="G243" s="299">
        <f t="shared" si="8"/>
        <v>6006.555</v>
      </c>
    </row>
    <row r="244" spans="3:7" ht="12.75">
      <c r="C244" s="304" t="s">
        <v>332</v>
      </c>
      <c r="D244" s="307">
        <v>0.1563</v>
      </c>
      <c r="E244" s="299">
        <f t="shared" si="7"/>
        <v>6118.495</v>
      </c>
      <c r="F244" s="307">
        <v>0.1521</v>
      </c>
      <c r="G244" s="299">
        <f t="shared" si="8"/>
        <v>6261.9675</v>
      </c>
    </row>
    <row r="245" spans="3:7" ht="12.75">
      <c r="C245" s="304" t="s">
        <v>333</v>
      </c>
      <c r="D245" s="307">
        <v>0.148</v>
      </c>
      <c r="E245" s="299">
        <f t="shared" si="7"/>
        <v>6088.2</v>
      </c>
      <c r="F245" s="307">
        <v>0.148</v>
      </c>
      <c r="G245" s="299">
        <f t="shared" si="8"/>
        <v>6246.9</v>
      </c>
    </row>
    <row r="246" spans="3:7" ht="12.75">
      <c r="C246" s="304" t="s">
        <v>334</v>
      </c>
      <c r="D246" s="307">
        <v>0.0985</v>
      </c>
      <c r="E246" s="299">
        <f t="shared" si="7"/>
        <v>5907.525</v>
      </c>
      <c r="F246" s="307">
        <v>0.0985</v>
      </c>
      <c r="G246" s="299">
        <f t="shared" si="8"/>
        <v>6064.9875</v>
      </c>
    </row>
    <row r="247" spans="3:7" ht="12.75">
      <c r="C247" s="304" t="s">
        <v>335</v>
      </c>
      <c r="D247" s="307">
        <v>0.0912</v>
      </c>
      <c r="E247" s="299">
        <f t="shared" si="7"/>
        <v>5880.88</v>
      </c>
      <c r="F247" s="307">
        <v>0.0912</v>
      </c>
      <c r="G247" s="299">
        <f t="shared" si="8"/>
        <v>6038.16</v>
      </c>
    </row>
    <row r="248" spans="3:7" ht="12.75">
      <c r="C248" s="304" t="s">
        <v>336</v>
      </c>
      <c r="D248" s="307">
        <v>0.122</v>
      </c>
      <c r="E248" s="299">
        <f t="shared" si="7"/>
        <v>5993.3</v>
      </c>
      <c r="F248" s="307">
        <v>0.1057</v>
      </c>
      <c r="G248" s="299">
        <f t="shared" si="8"/>
        <v>6091.4475</v>
      </c>
    </row>
    <row r="249" spans="3:7" ht="12.75">
      <c r="C249" s="304" t="s">
        <v>337</v>
      </c>
      <c r="D249" s="307">
        <v>0.2184</v>
      </c>
      <c r="E249" s="299">
        <f t="shared" si="7"/>
        <v>6345.16</v>
      </c>
      <c r="F249" s="307">
        <v>0.2184</v>
      </c>
      <c r="G249" s="299">
        <f t="shared" si="8"/>
        <v>6505.62</v>
      </c>
    </row>
    <row r="250" spans="3:7" ht="12.75">
      <c r="C250" s="304" t="s">
        <v>338</v>
      </c>
      <c r="D250" s="307">
        <v>0.1209</v>
      </c>
      <c r="E250" s="299">
        <f t="shared" si="7"/>
        <v>5989.285</v>
      </c>
      <c r="F250" s="307">
        <v>0.109</v>
      </c>
      <c r="G250" s="299">
        <f t="shared" si="8"/>
        <v>6103.575</v>
      </c>
    </row>
    <row r="251" spans="3:7" ht="12.75">
      <c r="C251" s="304" t="s">
        <v>339</v>
      </c>
      <c r="D251" s="307">
        <v>0.2195</v>
      </c>
      <c r="E251" s="299">
        <f t="shared" si="7"/>
        <v>6349.175</v>
      </c>
      <c r="F251" s="307">
        <v>0.2152</v>
      </c>
      <c r="G251" s="299">
        <f t="shared" si="8"/>
        <v>6493.86</v>
      </c>
    </row>
    <row r="252" spans="3:7" ht="12.75">
      <c r="C252" s="304" t="s">
        <v>340</v>
      </c>
      <c r="D252" s="307">
        <v>0.1631</v>
      </c>
      <c r="E252" s="299">
        <f t="shared" si="7"/>
        <v>6143.315</v>
      </c>
      <c r="F252" s="307">
        <v>0.1576</v>
      </c>
      <c r="G252" s="299">
        <f t="shared" si="8"/>
        <v>6282.18</v>
      </c>
    </row>
    <row r="253" spans="3:7" ht="12.75">
      <c r="C253" s="304" t="s">
        <v>341</v>
      </c>
      <c r="D253" s="307">
        <v>0.2248</v>
      </c>
      <c r="E253" s="299">
        <f t="shared" si="7"/>
        <v>6368.52</v>
      </c>
      <c r="F253" s="307">
        <v>0.2248</v>
      </c>
      <c r="G253" s="299">
        <f t="shared" si="8"/>
        <v>6529.14</v>
      </c>
    </row>
    <row r="254" spans="3:7" ht="12.75">
      <c r="C254" s="304" t="s">
        <v>342</v>
      </c>
      <c r="D254" s="307">
        <v>0.0352</v>
      </c>
      <c r="E254" s="299">
        <f t="shared" si="7"/>
        <v>5676.48</v>
      </c>
      <c r="F254" s="307">
        <v>0.0352</v>
      </c>
      <c r="G254" s="299">
        <f t="shared" si="8"/>
        <v>5832.36</v>
      </c>
    </row>
    <row r="255" spans="3:7" ht="12.75">
      <c r="C255" s="304" t="s">
        <v>343</v>
      </c>
      <c r="D255" s="307">
        <v>0.2092</v>
      </c>
      <c r="E255" s="299">
        <f t="shared" si="7"/>
        <v>6311.58</v>
      </c>
      <c r="F255" s="307">
        <v>0.1842</v>
      </c>
      <c r="G255" s="299">
        <f t="shared" si="8"/>
        <v>6379.935</v>
      </c>
    </row>
    <row r="256" spans="3:7" ht="12.75">
      <c r="C256" s="304" t="s">
        <v>344</v>
      </c>
      <c r="D256" s="307">
        <v>0.0638</v>
      </c>
      <c r="E256" s="299">
        <f t="shared" si="7"/>
        <v>5780.87</v>
      </c>
      <c r="F256" s="307">
        <v>0.0638</v>
      </c>
      <c r="G256" s="299">
        <f t="shared" si="8"/>
        <v>5937.465</v>
      </c>
    </row>
    <row r="257" spans="3:7" ht="12.75">
      <c r="C257" s="304" t="s">
        <v>345</v>
      </c>
      <c r="D257" s="307">
        <v>0.1049</v>
      </c>
      <c r="E257" s="299">
        <f t="shared" si="7"/>
        <v>5930.885</v>
      </c>
      <c r="F257" s="307">
        <v>0.0799</v>
      </c>
      <c r="G257" s="299">
        <f t="shared" si="8"/>
        <v>5996.6325</v>
      </c>
    </row>
    <row r="258" spans="3:7" ht="12.75">
      <c r="C258" s="304" t="s">
        <v>346</v>
      </c>
      <c r="D258" s="307">
        <v>0.0904</v>
      </c>
      <c r="E258" s="299">
        <f t="shared" si="7"/>
        <v>5877.96</v>
      </c>
      <c r="F258" s="307">
        <v>0.0818</v>
      </c>
      <c r="G258" s="299">
        <f t="shared" si="8"/>
        <v>6003.615</v>
      </c>
    </row>
    <row r="259" spans="3:7" ht="12.75">
      <c r="C259" s="304" t="s">
        <v>347</v>
      </c>
      <c r="D259" s="307">
        <v>0.2513</v>
      </c>
      <c r="E259" s="299">
        <f t="shared" si="7"/>
        <v>6465.245</v>
      </c>
      <c r="F259" s="307">
        <v>0.2333</v>
      </c>
      <c r="G259" s="299">
        <f t="shared" si="8"/>
        <v>6560.3775000000005</v>
      </c>
    </row>
    <row r="260" spans="3:7" ht="12.75">
      <c r="C260" s="304" t="s">
        <v>348</v>
      </c>
      <c r="D260" s="307">
        <v>0.1797</v>
      </c>
      <c r="E260" s="299">
        <f t="shared" si="7"/>
        <v>6203.905</v>
      </c>
      <c r="F260" s="307">
        <v>0.1797</v>
      </c>
      <c r="G260" s="299">
        <f t="shared" si="8"/>
        <v>6363.3975</v>
      </c>
    </row>
    <row r="261" spans="3:7" ht="12.75">
      <c r="C261" s="305" t="s">
        <v>349</v>
      </c>
      <c r="D261" s="307">
        <v>0.1093</v>
      </c>
      <c r="E261" s="299">
        <f t="shared" si="7"/>
        <v>5946.945</v>
      </c>
      <c r="F261" s="307">
        <v>0.1043</v>
      </c>
      <c r="G261" s="299">
        <f t="shared" si="8"/>
        <v>6086.3025</v>
      </c>
    </row>
    <row r="262" spans="3:7" ht="12.75">
      <c r="C262" s="304" t="s">
        <v>350</v>
      </c>
      <c r="D262" s="307">
        <v>0.2254</v>
      </c>
      <c r="E262" s="299">
        <f t="shared" si="7"/>
        <v>6370.71</v>
      </c>
      <c r="F262" s="307">
        <v>0.2004</v>
      </c>
      <c r="G262" s="299">
        <f t="shared" si="8"/>
        <v>6439.47</v>
      </c>
    </row>
    <row r="263" spans="3:7" ht="12.75">
      <c r="C263" s="304" t="s">
        <v>351</v>
      </c>
      <c r="D263" s="307">
        <v>0.2029</v>
      </c>
      <c r="E263" s="299">
        <f t="shared" si="7"/>
        <v>6288.585</v>
      </c>
      <c r="F263" s="307">
        <v>0.1779</v>
      </c>
      <c r="G263" s="299">
        <f t="shared" si="8"/>
        <v>6356.7825</v>
      </c>
    </row>
    <row r="264" spans="3:7" ht="12.75">
      <c r="C264" s="305" t="s">
        <v>352</v>
      </c>
      <c r="D264" s="307">
        <v>0.1877</v>
      </c>
      <c r="E264" s="299">
        <f t="shared" si="7"/>
        <v>6233.105</v>
      </c>
      <c r="F264" s="307">
        <v>0.1627</v>
      </c>
      <c r="G264" s="299">
        <f t="shared" si="8"/>
        <v>6300.9225</v>
      </c>
    </row>
    <row r="265" spans="3:7" ht="12.75">
      <c r="C265" s="304" t="s">
        <v>353</v>
      </c>
      <c r="D265" s="307">
        <v>0.0532</v>
      </c>
      <c r="E265" s="299">
        <f t="shared" si="7"/>
        <v>5742.18</v>
      </c>
      <c r="F265" s="307">
        <v>0.0532</v>
      </c>
      <c r="G265" s="299">
        <f t="shared" si="8"/>
        <v>5898.51</v>
      </c>
    </row>
    <row r="266" spans="3:7" ht="12.75">
      <c r="C266" s="304" t="s">
        <v>354</v>
      </c>
      <c r="D266" s="307">
        <v>0.2069</v>
      </c>
      <c r="E266" s="299">
        <f t="shared" si="7"/>
        <v>6303.1849999999995</v>
      </c>
      <c r="F266" s="307">
        <v>0.2044</v>
      </c>
      <c r="G266" s="299">
        <f t="shared" si="8"/>
        <v>6454.17</v>
      </c>
    </row>
    <row r="267" spans="3:7" ht="12.75">
      <c r="C267" s="304" t="s">
        <v>355</v>
      </c>
      <c r="D267" s="307">
        <v>0.278</v>
      </c>
      <c r="E267" s="299">
        <f t="shared" si="7"/>
        <v>6562.7</v>
      </c>
      <c r="F267" s="307">
        <v>0.278</v>
      </c>
      <c r="G267" s="299">
        <f t="shared" si="8"/>
        <v>6724.65</v>
      </c>
    </row>
    <row r="268" spans="3:7" ht="12.75">
      <c r="C268" s="304" t="s">
        <v>356</v>
      </c>
      <c r="D268" s="307">
        <v>0.1723</v>
      </c>
      <c r="E268" s="299">
        <f t="shared" si="7"/>
        <v>6176.895</v>
      </c>
      <c r="F268" s="307">
        <v>0.1723</v>
      </c>
      <c r="G268" s="299">
        <f t="shared" si="8"/>
        <v>6336.2025</v>
      </c>
    </row>
    <row r="269" spans="3:7" ht="12.75">
      <c r="C269" s="304" t="s">
        <v>357</v>
      </c>
      <c r="D269" s="307">
        <v>0.1004</v>
      </c>
      <c r="E269" s="299">
        <f t="shared" si="7"/>
        <v>5914.46</v>
      </c>
      <c r="F269" s="307">
        <v>0.1004</v>
      </c>
      <c r="G269" s="299">
        <f t="shared" si="8"/>
        <v>6071.97</v>
      </c>
    </row>
    <row r="270" spans="3:7" ht="12.75">
      <c r="C270" s="304" t="s">
        <v>358</v>
      </c>
      <c r="D270" s="307">
        <v>0.1352</v>
      </c>
      <c r="E270" s="299">
        <f t="shared" si="7"/>
        <v>6041.48</v>
      </c>
      <c r="F270" s="307">
        <v>0.1352</v>
      </c>
      <c r="G270" s="299">
        <f t="shared" si="8"/>
        <v>6199.86</v>
      </c>
    </row>
    <row r="271" spans="3:7" ht="12.75">
      <c r="C271" s="304" t="s">
        <v>359</v>
      </c>
      <c r="D271" s="307">
        <v>0.1113</v>
      </c>
      <c r="E271" s="299">
        <f t="shared" si="7"/>
        <v>5954.245</v>
      </c>
      <c r="F271" s="307">
        <v>0.0942</v>
      </c>
      <c r="G271" s="299">
        <f t="shared" si="8"/>
        <v>6049.185</v>
      </c>
    </row>
    <row r="272" spans="3:7" ht="12.75">
      <c r="C272" s="304" t="s">
        <v>360</v>
      </c>
      <c r="D272" s="307">
        <v>0.1128</v>
      </c>
      <c r="E272" s="299">
        <f t="shared" si="7"/>
        <v>5959.72</v>
      </c>
      <c r="F272" s="307">
        <v>0.1128</v>
      </c>
      <c r="G272" s="299">
        <f t="shared" si="8"/>
        <v>6117.54</v>
      </c>
    </row>
    <row r="273" spans="3:7" ht="12.75">
      <c r="C273" s="304" t="s">
        <v>361</v>
      </c>
      <c r="D273" s="307">
        <v>0.1349</v>
      </c>
      <c r="E273" s="299">
        <f t="shared" si="7"/>
        <v>6040.385</v>
      </c>
      <c r="F273" s="307">
        <v>0.1099</v>
      </c>
      <c r="G273" s="299">
        <f t="shared" si="8"/>
        <v>6106.8825</v>
      </c>
    </row>
    <row r="274" spans="3:7" ht="12.75">
      <c r="C274" s="306" t="s">
        <v>362</v>
      </c>
      <c r="D274" s="307">
        <v>0.0933</v>
      </c>
      <c r="E274" s="299">
        <f aca="true" t="shared" si="9" ref="E274:E307">(D274*$J$20)+$J$19</f>
        <v>5888.545</v>
      </c>
      <c r="F274" s="307">
        <v>0.0933</v>
      </c>
      <c r="G274" s="299">
        <f t="shared" si="8"/>
        <v>6045.8775</v>
      </c>
    </row>
    <row r="275" spans="3:7" ht="12.75">
      <c r="C275" s="305" t="s">
        <v>363</v>
      </c>
      <c r="D275" s="307">
        <v>0.1264</v>
      </c>
      <c r="E275" s="299">
        <f t="shared" si="9"/>
        <v>6009.36</v>
      </c>
      <c r="F275" s="307">
        <v>0.1166</v>
      </c>
      <c r="G275" s="299">
        <f t="shared" si="8"/>
        <v>6131.505</v>
      </c>
    </row>
    <row r="276" spans="3:7" ht="12.75">
      <c r="C276" s="305" t="s">
        <v>364</v>
      </c>
      <c r="D276" s="307">
        <v>0.1452</v>
      </c>
      <c r="E276" s="299">
        <f t="shared" si="9"/>
        <v>6077.98</v>
      </c>
      <c r="F276" s="307">
        <v>0.1452</v>
      </c>
      <c r="G276" s="299">
        <f aca="true" t="shared" si="10" ref="G276:G307">(F276*$K$20)+$K$19</f>
        <v>6236.61</v>
      </c>
    </row>
    <row r="277" spans="3:7" ht="12.75">
      <c r="C277" s="304" t="s">
        <v>365</v>
      </c>
      <c r="D277" s="307">
        <v>0.1346</v>
      </c>
      <c r="E277" s="299">
        <f t="shared" si="9"/>
        <v>6039.29</v>
      </c>
      <c r="F277" s="307">
        <v>0.1346</v>
      </c>
      <c r="G277" s="299">
        <f t="shared" si="10"/>
        <v>6197.655</v>
      </c>
    </row>
    <row r="278" spans="3:7" ht="12.75">
      <c r="C278" s="304" t="s">
        <v>366</v>
      </c>
      <c r="D278" s="307">
        <v>0.1264</v>
      </c>
      <c r="E278" s="299">
        <f t="shared" si="9"/>
        <v>6009.36</v>
      </c>
      <c r="F278" s="307">
        <v>0.1198</v>
      </c>
      <c r="G278" s="299">
        <f t="shared" si="10"/>
        <v>6143.265</v>
      </c>
    </row>
    <row r="279" spans="3:7" ht="12.75">
      <c r="C279" s="304" t="s">
        <v>367</v>
      </c>
      <c r="D279" s="307">
        <v>0.3426</v>
      </c>
      <c r="E279" s="299">
        <f t="shared" si="9"/>
        <v>6798.49</v>
      </c>
      <c r="F279" s="307">
        <v>0.3426</v>
      </c>
      <c r="G279" s="299">
        <f t="shared" si="10"/>
        <v>6962.055</v>
      </c>
    </row>
    <row r="280" spans="3:7" ht="12.75">
      <c r="C280" s="304" t="s">
        <v>368</v>
      </c>
      <c r="D280" s="307">
        <v>0.0767</v>
      </c>
      <c r="E280" s="299">
        <f t="shared" si="9"/>
        <v>5827.955</v>
      </c>
      <c r="F280" s="307">
        <v>0.0744</v>
      </c>
      <c r="G280" s="299">
        <f t="shared" si="10"/>
        <v>5976.42</v>
      </c>
    </row>
    <row r="281" spans="3:7" ht="12.75">
      <c r="C281" s="304" t="s">
        <v>369</v>
      </c>
      <c r="D281" s="307">
        <v>0.1547</v>
      </c>
      <c r="E281" s="299">
        <f t="shared" si="9"/>
        <v>6112.655</v>
      </c>
      <c r="F281" s="307">
        <v>0.1349</v>
      </c>
      <c r="G281" s="299">
        <f t="shared" si="10"/>
        <v>6198.7575</v>
      </c>
    </row>
    <row r="282" spans="3:7" ht="12.75">
      <c r="C282" s="304" t="s">
        <v>370</v>
      </c>
      <c r="D282" s="307">
        <v>0.0843</v>
      </c>
      <c r="E282" s="299">
        <f t="shared" si="9"/>
        <v>5855.695</v>
      </c>
      <c r="F282" s="307">
        <v>0.0843</v>
      </c>
      <c r="G282" s="299">
        <f t="shared" si="10"/>
        <v>6012.8025</v>
      </c>
    </row>
    <row r="283" spans="3:7" ht="12.75">
      <c r="C283" s="304" t="s">
        <v>371</v>
      </c>
      <c r="D283" s="307">
        <v>0.2636</v>
      </c>
      <c r="E283" s="299">
        <f t="shared" si="9"/>
        <v>6510.14</v>
      </c>
      <c r="F283" s="307">
        <v>0.2636</v>
      </c>
      <c r="G283" s="299">
        <f t="shared" si="10"/>
        <v>6671.73</v>
      </c>
    </row>
    <row r="284" spans="3:7" ht="12.75">
      <c r="C284" s="304" t="s">
        <v>372</v>
      </c>
      <c r="D284" s="307">
        <v>0.2862</v>
      </c>
      <c r="E284" s="299">
        <f t="shared" si="9"/>
        <v>6592.63</v>
      </c>
      <c r="F284" s="307">
        <v>0.2663</v>
      </c>
      <c r="G284" s="299">
        <f t="shared" si="10"/>
        <v>6681.6525</v>
      </c>
    </row>
    <row r="285" spans="3:7" ht="12.75">
      <c r="C285" s="304" t="s">
        <v>373</v>
      </c>
      <c r="D285" s="307">
        <v>0.2231</v>
      </c>
      <c r="E285" s="299">
        <f t="shared" si="9"/>
        <v>6362.315</v>
      </c>
      <c r="F285" s="307">
        <v>0.2206</v>
      </c>
      <c r="G285" s="299">
        <f t="shared" si="10"/>
        <v>6513.705</v>
      </c>
    </row>
    <row r="286" spans="3:7" ht="12.75">
      <c r="C286" s="304" t="s">
        <v>374</v>
      </c>
      <c r="D286" s="307">
        <v>0.0654</v>
      </c>
      <c r="E286" s="299">
        <f t="shared" si="9"/>
        <v>5786.71</v>
      </c>
      <c r="F286" s="307">
        <v>0.0654</v>
      </c>
      <c r="G286" s="299">
        <f t="shared" si="10"/>
        <v>5943.345</v>
      </c>
    </row>
    <row r="287" spans="3:7" ht="12.75">
      <c r="C287" s="304" t="s">
        <v>375</v>
      </c>
      <c r="D287" s="307">
        <v>0.0879</v>
      </c>
      <c r="E287" s="299">
        <f t="shared" si="9"/>
        <v>5868.835</v>
      </c>
      <c r="F287" s="307">
        <v>0.0879</v>
      </c>
      <c r="G287" s="299">
        <f t="shared" si="10"/>
        <v>6026.0325</v>
      </c>
    </row>
    <row r="288" spans="3:7" ht="12.75">
      <c r="C288" s="304" t="s">
        <v>376</v>
      </c>
      <c r="D288" s="307">
        <v>0.1282</v>
      </c>
      <c r="E288" s="299">
        <f t="shared" si="9"/>
        <v>6015.93</v>
      </c>
      <c r="F288" s="307">
        <v>0.1145</v>
      </c>
      <c r="G288" s="299">
        <f t="shared" si="10"/>
        <v>6123.7875</v>
      </c>
    </row>
    <row r="289" spans="3:7" ht="12.75">
      <c r="C289" s="304" t="s">
        <v>377</v>
      </c>
      <c r="D289" s="307">
        <v>0.2432</v>
      </c>
      <c r="E289" s="299">
        <f t="shared" si="9"/>
        <v>6435.68</v>
      </c>
      <c r="F289" s="307">
        <v>0.232</v>
      </c>
      <c r="G289" s="299">
        <f t="shared" si="10"/>
        <v>6555.6</v>
      </c>
    </row>
    <row r="290" spans="3:7" ht="12.75">
      <c r="C290" s="304" t="s">
        <v>378</v>
      </c>
      <c r="D290" s="307">
        <v>0.1241</v>
      </c>
      <c r="E290" s="299">
        <f t="shared" si="9"/>
        <v>6000.965</v>
      </c>
      <c r="F290" s="307">
        <v>0.1034</v>
      </c>
      <c r="G290" s="299">
        <f t="shared" si="10"/>
        <v>6082.995</v>
      </c>
    </row>
    <row r="291" spans="3:7" ht="12.75">
      <c r="C291" s="304" t="s">
        <v>379</v>
      </c>
      <c r="D291" s="307">
        <v>0.1921</v>
      </c>
      <c r="E291" s="299">
        <f t="shared" si="9"/>
        <v>6249.165</v>
      </c>
      <c r="F291" s="307">
        <v>0.1921</v>
      </c>
      <c r="G291" s="299">
        <f t="shared" si="10"/>
        <v>6408.9675</v>
      </c>
    </row>
    <row r="292" spans="3:7" ht="12.75">
      <c r="C292" s="305" t="s">
        <v>380</v>
      </c>
      <c r="D292" s="307">
        <v>0.1706</v>
      </c>
      <c r="E292" s="299">
        <f t="shared" si="9"/>
        <v>6170.6900000000005</v>
      </c>
      <c r="F292" s="307">
        <v>0.1491</v>
      </c>
      <c r="G292" s="299">
        <f t="shared" si="10"/>
        <v>6250.9425</v>
      </c>
    </row>
    <row r="293" spans="3:7" ht="12.75">
      <c r="C293" s="304" t="s">
        <v>381</v>
      </c>
      <c r="D293" s="307">
        <v>0.0747</v>
      </c>
      <c r="E293" s="299">
        <f t="shared" si="9"/>
        <v>5820.655</v>
      </c>
      <c r="F293" s="307">
        <v>0.0747</v>
      </c>
      <c r="G293" s="299">
        <f t="shared" si="10"/>
        <v>5977.5225</v>
      </c>
    </row>
    <row r="294" spans="3:7" ht="12.75">
      <c r="C294" s="304" t="s">
        <v>382</v>
      </c>
      <c r="D294" s="307">
        <v>0.0586</v>
      </c>
      <c r="E294" s="299">
        <f t="shared" si="9"/>
        <v>5761.89</v>
      </c>
      <c r="F294" s="307">
        <v>0.0586</v>
      </c>
      <c r="G294" s="299">
        <f t="shared" si="10"/>
        <v>5918.355</v>
      </c>
    </row>
    <row r="295" spans="3:7" ht="12.75">
      <c r="C295" s="304" t="s">
        <v>383</v>
      </c>
      <c r="D295" s="307">
        <v>0.1201</v>
      </c>
      <c r="E295" s="299">
        <f t="shared" si="9"/>
        <v>5986.365</v>
      </c>
      <c r="F295" s="307">
        <v>0.0951</v>
      </c>
      <c r="G295" s="299">
        <f t="shared" si="10"/>
        <v>6052.4925</v>
      </c>
    </row>
    <row r="296" spans="3:7" ht="12.75">
      <c r="C296" s="304" t="s">
        <v>384</v>
      </c>
      <c r="D296" s="307">
        <v>0.2005</v>
      </c>
      <c r="E296" s="299">
        <f t="shared" si="9"/>
        <v>6279.825</v>
      </c>
      <c r="F296" s="307">
        <v>0.1934</v>
      </c>
      <c r="G296" s="299">
        <f t="shared" si="10"/>
        <v>6413.745</v>
      </c>
    </row>
    <row r="297" spans="3:7" ht="12.75">
      <c r="C297" s="304" t="s">
        <v>385</v>
      </c>
      <c r="D297" s="307">
        <v>0.0919</v>
      </c>
      <c r="E297" s="299">
        <f t="shared" si="9"/>
        <v>5883.435</v>
      </c>
      <c r="F297" s="307">
        <v>0.0875</v>
      </c>
      <c r="G297" s="299">
        <f t="shared" si="10"/>
        <v>6024.5625</v>
      </c>
    </row>
    <row r="298" spans="3:7" ht="12.75">
      <c r="C298" s="304" t="s">
        <v>386</v>
      </c>
      <c r="D298" s="307">
        <v>0.1244</v>
      </c>
      <c r="E298" s="299">
        <f t="shared" si="9"/>
        <v>6002.06</v>
      </c>
      <c r="F298" s="307">
        <v>0.1244</v>
      </c>
      <c r="G298" s="299">
        <f t="shared" si="10"/>
        <v>6160.17</v>
      </c>
    </row>
    <row r="299" spans="3:7" ht="12.75">
      <c r="C299" s="304" t="s">
        <v>387</v>
      </c>
      <c r="D299" s="307">
        <v>0.1675</v>
      </c>
      <c r="E299" s="299">
        <f t="shared" si="9"/>
        <v>6159.375</v>
      </c>
      <c r="F299" s="307">
        <v>0.1555</v>
      </c>
      <c r="G299" s="299">
        <f t="shared" si="10"/>
        <v>6274.4625</v>
      </c>
    </row>
    <row r="300" spans="3:7" ht="12.75">
      <c r="C300" s="304" t="s">
        <v>388</v>
      </c>
      <c r="D300" s="307">
        <v>0.0435</v>
      </c>
      <c r="E300" s="299">
        <f t="shared" si="9"/>
        <v>5706.775</v>
      </c>
      <c r="F300" s="307">
        <v>0.0435</v>
      </c>
      <c r="G300" s="299">
        <f t="shared" si="10"/>
        <v>5862.8625</v>
      </c>
    </row>
    <row r="301" spans="3:7" ht="12.75">
      <c r="C301" s="306" t="s">
        <v>389</v>
      </c>
      <c r="D301" s="307">
        <v>0.0449</v>
      </c>
      <c r="E301" s="299">
        <f t="shared" si="9"/>
        <v>5711.885</v>
      </c>
      <c r="F301" s="307">
        <v>0.0449</v>
      </c>
      <c r="G301" s="299">
        <f t="shared" si="10"/>
        <v>5868.0075</v>
      </c>
    </row>
    <row r="302" spans="3:7" ht="12.75">
      <c r="C302" s="304" t="s">
        <v>390</v>
      </c>
      <c r="D302" s="307">
        <v>0.2175</v>
      </c>
      <c r="E302" s="299">
        <f t="shared" si="9"/>
        <v>6341.875</v>
      </c>
      <c r="F302" s="307">
        <v>0.1925</v>
      </c>
      <c r="G302" s="299">
        <f t="shared" si="10"/>
        <v>6410.4375</v>
      </c>
    </row>
    <row r="303" spans="3:7" ht="12.75">
      <c r="C303" s="304" t="s">
        <v>391</v>
      </c>
      <c r="D303" s="307">
        <v>0.2309</v>
      </c>
      <c r="E303" s="299">
        <f t="shared" si="9"/>
        <v>6390.785</v>
      </c>
      <c r="F303" s="307">
        <v>0.2059</v>
      </c>
      <c r="G303" s="299">
        <f t="shared" si="10"/>
        <v>6459.6825</v>
      </c>
    </row>
    <row r="304" spans="3:7" ht="12.75">
      <c r="C304" s="306" t="s">
        <v>392</v>
      </c>
      <c r="D304" s="307">
        <v>0.1292</v>
      </c>
      <c r="E304" s="299">
        <f t="shared" si="9"/>
        <v>6019.58</v>
      </c>
      <c r="F304" s="307">
        <v>0.1292</v>
      </c>
      <c r="G304" s="299">
        <f t="shared" si="10"/>
        <v>6177.81</v>
      </c>
    </row>
    <row r="305" spans="3:7" ht="12.75">
      <c r="C305" s="304" t="s">
        <v>393</v>
      </c>
      <c r="D305" s="307">
        <v>0.0807</v>
      </c>
      <c r="E305" s="299">
        <f t="shared" si="9"/>
        <v>5842.555</v>
      </c>
      <c r="F305" s="307">
        <v>0.0807</v>
      </c>
      <c r="G305" s="299">
        <f t="shared" si="10"/>
        <v>5999.5725</v>
      </c>
    </row>
    <row r="306" spans="3:7" ht="12.75">
      <c r="C306" s="304" t="s">
        <v>401</v>
      </c>
      <c r="D306" s="307">
        <v>0.1426</v>
      </c>
      <c r="E306" s="299">
        <f t="shared" si="9"/>
        <v>6068.49</v>
      </c>
      <c r="F306" s="307">
        <v>0.1426</v>
      </c>
      <c r="G306" s="299">
        <f t="shared" si="10"/>
        <v>6227.055</v>
      </c>
    </row>
    <row r="307" spans="3:7" ht="12.75">
      <c r="C307" s="304" t="s">
        <v>394</v>
      </c>
      <c r="D307" s="307">
        <v>0.0119</v>
      </c>
      <c r="E307" s="299">
        <f t="shared" si="9"/>
        <v>5591.435</v>
      </c>
      <c r="F307" s="307">
        <v>0.0119</v>
      </c>
      <c r="G307" s="299">
        <f t="shared" si="10"/>
        <v>5746.7325</v>
      </c>
    </row>
  </sheetData>
  <sheetProtection password="BDDB" sheet="1" selectLockedCells="1" selectUnlockedCells="1"/>
  <mergeCells count="4">
    <mergeCell ref="C15:D15"/>
    <mergeCell ref="H15:J15"/>
    <mergeCell ref="B11:J12"/>
    <mergeCell ref="B13:J13"/>
  </mergeCells>
  <conditionalFormatting sqref="C18:F18 D19:F19">
    <cfRule type="expression" priority="37" dxfId="0">
      <formula>$T18="Closed"</formula>
    </cfRule>
  </conditionalFormatting>
  <conditionalFormatting sqref="C18">
    <cfRule type="expression" priority="36" dxfId="0">
      <formula>$T18="Closed"</formula>
    </cfRule>
  </conditionalFormatting>
  <conditionalFormatting sqref="C18:F18 D19:F19">
    <cfRule type="expression" priority="35" dxfId="0">
      <formula>$T18="Transferred"</formula>
    </cfRule>
  </conditionalFormatting>
  <conditionalFormatting sqref="C18">
    <cfRule type="expression" priority="34" dxfId="0">
      <formula>$T18="Closed"</formula>
    </cfRule>
  </conditionalFormatting>
  <conditionalFormatting sqref="D18:F18">
    <cfRule type="expression" priority="33" dxfId="0">
      <formula>$T18="Closed"</formula>
    </cfRule>
  </conditionalFormatting>
  <conditionalFormatting sqref="D45:F46 D30:F43">
    <cfRule type="expression" priority="32" dxfId="0">
      <formula>S25="Closed"</formula>
    </cfRule>
  </conditionalFormatting>
  <conditionalFormatting sqref="D45:F46 D26:F43">
    <cfRule type="expression" priority="31" dxfId="0">
      <formula>$T21="Closed"</formula>
    </cfRule>
  </conditionalFormatting>
  <conditionalFormatting sqref="D45:F46 D26:F43">
    <cfRule type="expression" priority="30" dxfId="0">
      <formula>$T21="Transferred"</formula>
    </cfRule>
  </conditionalFormatting>
  <conditionalFormatting sqref="D27:F27">
    <cfRule type="expression" priority="29" dxfId="0">
      <formula>$T22="Closed"</formula>
    </cfRule>
  </conditionalFormatting>
  <conditionalFormatting sqref="D47:F47">
    <cfRule type="expression" priority="22" dxfId="0">
      <formula>S42="Closed"</formula>
    </cfRule>
  </conditionalFormatting>
  <conditionalFormatting sqref="D47:F47">
    <cfRule type="expression" priority="21" dxfId="0">
      <formula>$T42="Closed"</formula>
    </cfRule>
  </conditionalFormatting>
  <conditionalFormatting sqref="D47:F47">
    <cfRule type="expression" priority="20" dxfId="0">
      <formula>$T42="Transferred"</formula>
    </cfRule>
  </conditionalFormatting>
  <conditionalFormatting sqref="D47:F47">
    <cfRule type="expression" priority="19" dxfId="0">
      <formula>S42="Closed"</formula>
    </cfRule>
  </conditionalFormatting>
  <conditionalFormatting sqref="D47:F47">
    <cfRule type="expression" priority="18" dxfId="0">
      <formula>$T42="Closed"</formula>
    </cfRule>
  </conditionalFormatting>
  <conditionalFormatting sqref="D47:F47">
    <cfRule type="expression" priority="17" dxfId="0">
      <formula>$T42="Transferred"</formula>
    </cfRule>
  </conditionalFormatting>
  <conditionalFormatting sqref="D47:F47">
    <cfRule type="expression" priority="16" dxfId="0">
      <formula>$T42="Closed"</formula>
    </cfRule>
  </conditionalFormatting>
  <conditionalFormatting sqref="D44:F44">
    <cfRule type="expression" priority="39" dxfId="0">
      <formula>S38="Closed"</formula>
    </cfRule>
  </conditionalFormatting>
  <conditionalFormatting sqref="D44:F44">
    <cfRule type="expression" priority="40" dxfId="0">
      <formula>$T38="Closed"</formula>
    </cfRule>
  </conditionalFormatting>
  <conditionalFormatting sqref="D44:F44">
    <cfRule type="expression" priority="41" dxfId="0">
      <formula>$T38="Transferred"</formula>
    </cfRule>
  </conditionalFormatting>
  <conditionalFormatting sqref="D21:F22">
    <cfRule type="expression" priority="46" dxfId="0">
      <formula>$T20="Closed"</formula>
    </cfRule>
  </conditionalFormatting>
  <conditionalFormatting sqref="D21:F22">
    <cfRule type="expression" priority="47" dxfId="0">
      <formula>$T20="Transferred"</formula>
    </cfRule>
  </conditionalFormatting>
  <conditionalFormatting sqref="D25:F25">
    <cfRule type="expression" priority="49" dxfId="0">
      <formula>$T21="Closed"</formula>
    </cfRule>
  </conditionalFormatting>
  <conditionalFormatting sqref="D25:F25">
    <cfRule type="expression" priority="50" dxfId="0">
      <formula>$T21="Transferred"</formula>
    </cfRule>
  </conditionalFormatting>
  <conditionalFormatting sqref="D24:F24">
    <cfRule type="expression" priority="52" dxfId="0">
      <formula>$T21="Closed"</formula>
    </cfRule>
  </conditionalFormatting>
  <conditionalFormatting sqref="D24:F24">
    <cfRule type="expression" priority="53" dxfId="0">
      <formula>$T21="Transferred"</formula>
    </cfRule>
  </conditionalFormatting>
  <conditionalFormatting sqref="D23:F23">
    <cfRule type="expression" priority="55" dxfId="0">
      <formula>$T21="Closed"</formula>
    </cfRule>
  </conditionalFormatting>
  <conditionalFormatting sqref="D23:F23">
    <cfRule type="expression" priority="56" dxfId="0">
      <formula>$T21="Transferred"</formula>
    </cfRule>
  </conditionalFormatting>
  <conditionalFormatting sqref="C18:F18 D19:F19 G20:G27">
    <cfRule type="expression" priority="57" dxfId="0">
      <formula>K3="Closed"</formula>
    </cfRule>
  </conditionalFormatting>
  <conditionalFormatting sqref="D26:F29">
    <cfRule type="expression" priority="60" dxfId="0">
      <formula>L6="Closed"</formula>
    </cfRule>
  </conditionalFormatting>
  <conditionalFormatting sqref="D21:F22">
    <cfRule type="expression" priority="61" dxfId="0">
      <formula>L5="Closed"</formula>
    </cfRule>
  </conditionalFormatting>
  <conditionalFormatting sqref="D25:F25">
    <cfRule type="expression" priority="62" dxfId="0">
      <formula>L6="Closed"</formula>
    </cfRule>
  </conditionalFormatting>
  <conditionalFormatting sqref="D24:F24">
    <cfRule type="expression" priority="63" dxfId="0">
      <formula>L6="Closed"</formula>
    </cfRule>
  </conditionalFormatting>
  <conditionalFormatting sqref="D23:F23">
    <cfRule type="expression" priority="64" dxfId="0">
      <formula>L6="Closed"</formula>
    </cfRule>
  </conditionalFormatting>
  <conditionalFormatting sqref="G19">
    <cfRule type="expression" priority="5" dxfId="0">
      <formula>$T19="Closed"</formula>
    </cfRule>
  </conditionalFormatting>
  <conditionalFormatting sqref="G19">
    <cfRule type="expression" priority="4" dxfId="0">
      <formula>$T19="Transferred"</formula>
    </cfRule>
  </conditionalFormatting>
  <conditionalFormatting sqref="F20">
    <cfRule type="expression" priority="8" dxfId="0">
      <formula>$T20="Closed"</formula>
    </cfRule>
  </conditionalFormatting>
  <conditionalFormatting sqref="F20">
    <cfRule type="expression" priority="7" dxfId="0">
      <formula>$T20="Transferred"</formula>
    </cfRule>
  </conditionalFormatting>
  <conditionalFormatting sqref="F20">
    <cfRule type="expression" priority="9" dxfId="0">
      <formula>N5="Closed"</formula>
    </cfRule>
  </conditionalFormatting>
  <conditionalFormatting sqref="G19">
    <cfRule type="expression" priority="6" dxfId="0">
      <formula>O4="Closed"</formula>
    </cfRule>
  </conditionalFormatting>
  <conditionalFormatting sqref="G20:G307">
    <cfRule type="expression" priority="2" dxfId="0">
      <formula>$T20="Closed"</formula>
    </cfRule>
  </conditionalFormatting>
  <conditionalFormatting sqref="G20:G307">
    <cfRule type="expression" priority="1" dxfId="0">
      <formula>$T20="Transferred"</formula>
    </cfRule>
  </conditionalFormatting>
  <conditionalFormatting sqref="G28:G307">
    <cfRule type="expression" priority="3" dxfId="0">
      <formula>O15="Closed"</formula>
    </cfRule>
  </conditionalFormatting>
  <printOptions/>
  <pageMargins left="0.7" right="0.7" top="0.75" bottom="0.75" header="0.3" footer="0.3"/>
  <pageSetup horizontalDpi="600" verticalDpi="600" orientation="portrait"/>
  <ignoredErrors>
    <ignoredError sqref="F19"/>
  </ignoredErrors>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Abston, Bridgett</cp:lastModifiedBy>
  <cp:lastPrinted>2020-10-16T18:41:22Z</cp:lastPrinted>
  <dcterms:created xsi:type="dcterms:W3CDTF">2009-06-30T21:24:16Z</dcterms:created>
  <dcterms:modified xsi:type="dcterms:W3CDTF">2020-11-02T20:37:18Z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