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/>
  <mc:AlternateContent xmlns:mc="http://schemas.openxmlformats.org/markup-compatibility/2006">
    <mc:Choice Requires="x15">
      <x15ac:absPath xmlns:x15ac="http://schemas.microsoft.com/office/spreadsheetml/2010/11/ac" url="https://careeracademysb-my.sharepoint.com/personal/dwarrington_careeracademysb_com/Documents/DW Desktop/New Charter Application/"/>
    </mc:Choice>
  </mc:AlternateContent>
  <xr:revisionPtr revIDLastSave="0" documentId="8_{4AB6B4E7-C90A-4058-8DB9-86053F8E6F68}" xr6:coauthVersionLast="47" xr6:coauthVersionMax="47" xr10:uidLastSave="{00000000-0000-0000-0000-000000000000}"/>
  <bookViews>
    <workbookView xWindow="-120" yWindow="-120" windowWidth="38640" windowHeight="21120" xr2:uid="{60963BE1-8D7F-4678-96EE-5D8A1B51C9B5}"/>
  </bookViews>
  <sheets>
    <sheet name="5 YEAR MODEL" sheetId="6" r:id="rId1"/>
    <sheet name="Staffing Plan" sheetId="7" r:id="rId2"/>
    <sheet name="25-26 Operating Budget" sheetId="1" r:id="rId3"/>
    <sheet name="Property Tax Levy CY25" sheetId="8" r:id="rId4"/>
    <sheet name="Notes" sheetId="5" r:id="rId5"/>
    <sheet name="25-26 Revenue Funding" sheetId="2" state="hidden" r:id="rId6"/>
    <sheet name="Staffing Plan 5 School Roll-up" sheetId="4" state="hidden" r:id="rId7"/>
  </sheets>
  <definedNames>
    <definedName name="_xlnm.Print_Area" localSheetId="0">'5 YEAR MODEL'!$B$7:$G$77</definedName>
    <definedName name="_xlnm.Print_Titles" localSheetId="0">'5 YEAR MODEL'!$A:$A,'5 YEAR MODEL'!$1:$7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8" l="1"/>
  <c r="H43" i="8"/>
  <c r="C43" i="8"/>
  <c r="O41" i="8"/>
  <c r="O39" i="8"/>
  <c r="O35" i="8"/>
  <c r="O33" i="8"/>
  <c r="O31" i="8"/>
  <c r="M20" i="8"/>
  <c r="H20" i="8"/>
  <c r="C20" i="8"/>
  <c r="O18" i="8"/>
  <c r="O16" i="8"/>
  <c r="O12" i="8"/>
  <c r="O10" i="8"/>
  <c r="O8" i="8"/>
  <c r="O44" i="8" s="1"/>
  <c r="S23" i="7" l="1"/>
  <c r="S24" i="7"/>
  <c r="S25" i="7"/>
  <c r="S26" i="7"/>
  <c r="S27" i="7"/>
  <c r="S28" i="7"/>
  <c r="T28" i="7" s="1"/>
  <c r="S29" i="7"/>
  <c r="S22" i="7"/>
  <c r="S5" i="7"/>
  <c r="S6" i="7"/>
  <c r="S7" i="7"/>
  <c r="S8" i="7"/>
  <c r="S9" i="7"/>
  <c r="T9" i="7" s="1"/>
  <c r="S10" i="7"/>
  <c r="T10" i="7" s="1"/>
  <c r="S4" i="7"/>
  <c r="T4" i="7" s="1"/>
  <c r="P23" i="7"/>
  <c r="Q23" i="7" s="1"/>
  <c r="P24" i="7"/>
  <c r="Q24" i="7" s="1"/>
  <c r="P25" i="7"/>
  <c r="P26" i="7"/>
  <c r="Q26" i="7" s="1"/>
  <c r="P27" i="7"/>
  <c r="Q27" i="7" s="1"/>
  <c r="P28" i="7"/>
  <c r="Q28" i="7" s="1"/>
  <c r="P29" i="7"/>
  <c r="Q29" i="7" s="1"/>
  <c r="P22" i="7"/>
  <c r="Q22" i="7" s="1"/>
  <c r="P5" i="7"/>
  <c r="P6" i="7"/>
  <c r="Q6" i="7" s="1"/>
  <c r="P7" i="7"/>
  <c r="P8" i="7"/>
  <c r="Q8" i="7" s="1"/>
  <c r="P9" i="7"/>
  <c r="P10" i="7"/>
  <c r="P4" i="7"/>
  <c r="Q4" i="7" s="1"/>
  <c r="M23" i="7"/>
  <c r="M24" i="7"/>
  <c r="N24" i="7" s="1"/>
  <c r="M25" i="7"/>
  <c r="N25" i="7" s="1"/>
  <c r="M26" i="7"/>
  <c r="N26" i="7" s="1"/>
  <c r="M27" i="7"/>
  <c r="N27" i="7" s="1"/>
  <c r="M28" i="7"/>
  <c r="N28" i="7" s="1"/>
  <c r="M29" i="7"/>
  <c r="N29" i="7" s="1"/>
  <c r="M22" i="7"/>
  <c r="M5" i="7"/>
  <c r="N5" i="7" s="1"/>
  <c r="M6" i="7"/>
  <c r="N6" i="7" s="1"/>
  <c r="M7" i="7"/>
  <c r="N7" i="7" s="1"/>
  <c r="M8" i="7"/>
  <c r="M9" i="7"/>
  <c r="M10" i="7"/>
  <c r="N10" i="7" s="1"/>
  <c r="M4" i="7"/>
  <c r="J23" i="7"/>
  <c r="K23" i="7" s="1"/>
  <c r="J24" i="7"/>
  <c r="K24" i="7" s="1"/>
  <c r="J25" i="7"/>
  <c r="K25" i="7" s="1"/>
  <c r="J26" i="7"/>
  <c r="K26" i="7" s="1"/>
  <c r="J27" i="7"/>
  <c r="J28" i="7"/>
  <c r="J29" i="7"/>
  <c r="J22" i="7"/>
  <c r="J5" i="7"/>
  <c r="K5" i="7" s="1"/>
  <c r="J6" i="7"/>
  <c r="K6" i="7" s="1"/>
  <c r="J7" i="7"/>
  <c r="J8" i="7"/>
  <c r="J9" i="7"/>
  <c r="J10" i="7"/>
  <c r="J4" i="7"/>
  <c r="R37" i="7"/>
  <c r="O37" i="7"/>
  <c r="L37" i="7"/>
  <c r="I37" i="7"/>
  <c r="F37" i="7"/>
  <c r="C37" i="7"/>
  <c r="T36" i="7"/>
  <c r="Q36" i="7"/>
  <c r="N36" i="7"/>
  <c r="K36" i="7"/>
  <c r="H36" i="7"/>
  <c r="E36" i="7"/>
  <c r="T35" i="7"/>
  <c r="Q35" i="7"/>
  <c r="N35" i="7"/>
  <c r="K35" i="7"/>
  <c r="H35" i="7"/>
  <c r="E35" i="7"/>
  <c r="T34" i="7"/>
  <c r="Q34" i="7"/>
  <c r="N34" i="7"/>
  <c r="K34" i="7"/>
  <c r="H34" i="7"/>
  <c r="E34" i="7"/>
  <c r="T33" i="7"/>
  <c r="Q33" i="7"/>
  <c r="N33" i="7"/>
  <c r="K33" i="7"/>
  <c r="H33" i="7"/>
  <c r="E33" i="7"/>
  <c r="T32" i="7"/>
  <c r="Q32" i="7"/>
  <c r="N32" i="7"/>
  <c r="K32" i="7"/>
  <c r="H32" i="7"/>
  <c r="E32" i="7"/>
  <c r="T31" i="7"/>
  <c r="Q31" i="7"/>
  <c r="N31" i="7"/>
  <c r="K31" i="7"/>
  <c r="H31" i="7"/>
  <c r="E31" i="7"/>
  <c r="T30" i="7"/>
  <c r="Q30" i="7"/>
  <c r="N30" i="7"/>
  <c r="K30" i="7"/>
  <c r="H30" i="7"/>
  <c r="E30" i="7"/>
  <c r="T29" i="7"/>
  <c r="K29" i="7"/>
  <c r="G29" i="7"/>
  <c r="H29" i="7" s="1"/>
  <c r="E29" i="7"/>
  <c r="K28" i="7"/>
  <c r="G28" i="7"/>
  <c r="H28" i="7" s="1"/>
  <c r="E28" i="7"/>
  <c r="T27" i="7"/>
  <c r="K27" i="7"/>
  <c r="G27" i="7"/>
  <c r="H27" i="7" s="1"/>
  <c r="E27" i="7"/>
  <c r="T26" i="7"/>
  <c r="G26" i="7"/>
  <c r="H26" i="7" s="1"/>
  <c r="E26" i="7"/>
  <c r="T25" i="7"/>
  <c r="Q25" i="7"/>
  <c r="G25" i="7"/>
  <c r="H25" i="7" s="1"/>
  <c r="E25" i="7"/>
  <c r="T24" i="7"/>
  <c r="G24" i="7"/>
  <c r="H24" i="7" s="1"/>
  <c r="E24" i="7"/>
  <c r="T23" i="7"/>
  <c r="N23" i="7"/>
  <c r="H23" i="7"/>
  <c r="G23" i="7"/>
  <c r="E23" i="7"/>
  <c r="T22" i="7"/>
  <c r="N22" i="7"/>
  <c r="K22" i="7"/>
  <c r="G22" i="7"/>
  <c r="H22" i="7" s="1"/>
  <c r="E22" i="7"/>
  <c r="R19" i="7"/>
  <c r="T52" i="7" s="1"/>
  <c r="O19" i="7"/>
  <c r="Q52" i="7" s="1"/>
  <c r="L19" i="7"/>
  <c r="N52" i="7" s="1"/>
  <c r="I19" i="7"/>
  <c r="F19" i="7"/>
  <c r="C19" i="7"/>
  <c r="E52" i="7" s="1"/>
  <c r="T18" i="7"/>
  <c r="Q18" i="7"/>
  <c r="N18" i="7"/>
  <c r="K18" i="7"/>
  <c r="H18" i="7"/>
  <c r="E18" i="7"/>
  <c r="T17" i="7"/>
  <c r="Q17" i="7"/>
  <c r="N17" i="7"/>
  <c r="K17" i="7"/>
  <c r="H17" i="7"/>
  <c r="E17" i="7"/>
  <c r="T16" i="7"/>
  <c r="Q16" i="7"/>
  <c r="N16" i="7"/>
  <c r="K16" i="7"/>
  <c r="H16" i="7"/>
  <c r="E16" i="7"/>
  <c r="T15" i="7"/>
  <c r="Q15" i="7"/>
  <c r="N15" i="7"/>
  <c r="K15" i="7"/>
  <c r="H15" i="7"/>
  <c r="E15" i="7"/>
  <c r="T14" i="7"/>
  <c r="Q14" i="7"/>
  <c r="N14" i="7"/>
  <c r="K14" i="7"/>
  <c r="H14" i="7"/>
  <c r="E14" i="7"/>
  <c r="T13" i="7"/>
  <c r="Q13" i="7"/>
  <c r="N13" i="7"/>
  <c r="K13" i="7"/>
  <c r="H13" i="7"/>
  <c r="E13" i="7"/>
  <c r="T12" i="7"/>
  <c r="Q12" i="7"/>
  <c r="N12" i="7"/>
  <c r="K12" i="7"/>
  <c r="H12" i="7"/>
  <c r="E12" i="7"/>
  <c r="T11" i="7"/>
  <c r="Q11" i="7"/>
  <c r="N11" i="7"/>
  <c r="K11" i="7"/>
  <c r="H11" i="7"/>
  <c r="E11" i="7"/>
  <c r="Q10" i="7"/>
  <c r="K10" i="7"/>
  <c r="G10" i="7"/>
  <c r="H10" i="7" s="1"/>
  <c r="E10" i="7"/>
  <c r="Q9" i="7"/>
  <c r="N9" i="7"/>
  <c r="K9" i="7"/>
  <c r="G9" i="7"/>
  <c r="H9" i="7" s="1"/>
  <c r="E9" i="7"/>
  <c r="T8" i="7"/>
  <c r="N8" i="7"/>
  <c r="K8" i="7"/>
  <c r="G8" i="7"/>
  <c r="H8" i="7" s="1"/>
  <c r="E8" i="7"/>
  <c r="T7" i="7"/>
  <c r="Q7" i="7"/>
  <c r="K7" i="7"/>
  <c r="H7" i="7"/>
  <c r="G7" i="7"/>
  <c r="E7" i="7"/>
  <c r="T6" i="7"/>
  <c r="H6" i="7"/>
  <c r="G6" i="7"/>
  <c r="E6" i="7"/>
  <c r="T5" i="7"/>
  <c r="Q5" i="7"/>
  <c r="G5" i="7"/>
  <c r="H5" i="7" s="1"/>
  <c r="E5" i="7"/>
  <c r="N4" i="7"/>
  <c r="K4" i="7"/>
  <c r="G4" i="7"/>
  <c r="H4" i="7" s="1"/>
  <c r="E4" i="7"/>
  <c r="E19" i="7" s="1"/>
  <c r="K52" i="7" l="1"/>
  <c r="H52" i="7"/>
  <c r="T19" i="7"/>
  <c r="Q19" i="7"/>
  <c r="Q42" i="7" s="1"/>
  <c r="N19" i="7"/>
  <c r="K19" i="7"/>
  <c r="K42" i="7" s="1"/>
  <c r="E42" i="7"/>
  <c r="E53" i="7"/>
  <c r="E45" i="7"/>
  <c r="E44" i="7"/>
  <c r="E43" i="7"/>
  <c r="N53" i="7"/>
  <c r="N45" i="7"/>
  <c r="N44" i="7"/>
  <c r="N43" i="7"/>
  <c r="N42" i="7"/>
  <c r="T44" i="7"/>
  <c r="T43" i="7"/>
  <c r="T53" i="7"/>
  <c r="T45" i="7"/>
  <c r="T42" i="7"/>
  <c r="T54" i="7" s="1"/>
  <c r="H19" i="7"/>
  <c r="Q53" i="7" l="1"/>
  <c r="Q43" i="7"/>
  <c r="Q44" i="7"/>
  <c r="Q45" i="7"/>
  <c r="K44" i="7"/>
  <c r="K53" i="7"/>
  <c r="K45" i="7"/>
  <c r="K43" i="7"/>
  <c r="H42" i="7"/>
  <c r="H53" i="7"/>
  <c r="H45" i="7"/>
  <c r="H44" i="7"/>
  <c r="H43" i="7"/>
  <c r="N54" i="7"/>
  <c r="N55" i="7" s="1"/>
  <c r="T55" i="7"/>
  <c r="E54" i="7"/>
  <c r="E55" i="7" s="1"/>
  <c r="Q54" i="7" l="1"/>
  <c r="Q55" i="7" s="1"/>
  <c r="K54" i="7"/>
  <c r="K55" i="7" s="1"/>
  <c r="H54" i="7"/>
  <c r="H55" i="7" s="1"/>
  <c r="B15" i="5" l="1"/>
  <c r="D15" i="5" s="1"/>
  <c r="F15" i="5" l="1"/>
  <c r="C8" i="6"/>
  <c r="H59" i="7" s="1"/>
  <c r="C30" i="6"/>
  <c r="H57" i="7" l="1"/>
  <c r="H56" i="7"/>
  <c r="H15" i="5"/>
  <c r="E8" i="6" s="1"/>
  <c r="N59" i="7" s="1"/>
  <c r="D8" i="6"/>
  <c r="K59" i="7" s="1"/>
  <c r="B8" i="6"/>
  <c r="E59" i="7" s="1"/>
  <c r="K57" i="7" l="1"/>
  <c r="K56" i="7"/>
  <c r="E57" i="7"/>
  <c r="E56" i="7"/>
  <c r="N56" i="7"/>
  <c r="N57" i="7"/>
  <c r="G74" i="6"/>
  <c r="E74" i="6"/>
  <c r="F74" i="6"/>
  <c r="D74" i="6"/>
  <c r="C74" i="6"/>
  <c r="D37" i="6"/>
  <c r="G8" i="6"/>
  <c r="T59" i="7" s="1"/>
  <c r="F8" i="6"/>
  <c r="Q59" i="7" s="1"/>
  <c r="C37" i="6"/>
  <c r="C38" i="6"/>
  <c r="C39" i="6"/>
  <c r="C40" i="6"/>
  <c r="H28" i="5"/>
  <c r="J28" i="5" s="1"/>
  <c r="F31" i="5"/>
  <c r="H31" i="5" s="1"/>
  <c r="F30" i="5"/>
  <c r="H30" i="5" s="1"/>
  <c r="F29" i="5"/>
  <c r="D38" i="6" s="1"/>
  <c r="A31" i="5"/>
  <c r="A28" i="5"/>
  <c r="A29" i="5"/>
  <c r="A30" i="5"/>
  <c r="A27" i="5"/>
  <c r="Q56" i="7" l="1"/>
  <c r="Q57" i="7"/>
  <c r="T57" i="7"/>
  <c r="T56" i="7"/>
  <c r="E37" i="6"/>
  <c r="E39" i="6"/>
  <c r="J30" i="5"/>
  <c r="E40" i="6"/>
  <c r="J31" i="5"/>
  <c r="L28" i="5"/>
  <c r="G37" i="6" s="1"/>
  <c r="F37" i="6"/>
  <c r="H29" i="5"/>
  <c r="D40" i="6"/>
  <c r="D39" i="6"/>
  <c r="B17" i="5"/>
  <c r="B18" i="5"/>
  <c r="B19" i="5"/>
  <c r="B20" i="5"/>
  <c r="B21" i="5"/>
  <c r="B22" i="5"/>
  <c r="B16" i="5"/>
  <c r="B12" i="6"/>
  <c r="B13" i="6"/>
  <c r="B14" i="6"/>
  <c r="B15" i="6"/>
  <c r="B16" i="6"/>
  <c r="B17" i="6"/>
  <c r="B18" i="6"/>
  <c r="B22" i="6"/>
  <c r="B23" i="6"/>
  <c r="B24" i="6"/>
  <c r="B25" i="6"/>
  <c r="B26" i="6"/>
  <c r="B27" i="6"/>
  <c r="B28" i="6"/>
  <c r="B29" i="6"/>
  <c r="B30" i="6"/>
  <c r="B36" i="6"/>
  <c r="B37" i="6"/>
  <c r="B28" i="5" s="1"/>
  <c r="B38" i="6"/>
  <c r="B29" i="5" s="1"/>
  <c r="B39" i="6"/>
  <c r="B30" i="5" s="1"/>
  <c r="B40" i="6"/>
  <c r="B31" i="5" s="1"/>
  <c r="B44" i="6"/>
  <c r="C44" i="6" s="1"/>
  <c r="D44" i="6" s="1"/>
  <c r="E44" i="6" s="1"/>
  <c r="F44" i="6" s="1"/>
  <c r="G44" i="6" s="1"/>
  <c r="B45" i="6"/>
  <c r="C45" i="6" s="1"/>
  <c r="D45" i="6" s="1"/>
  <c r="E45" i="6" s="1"/>
  <c r="F45" i="6" s="1"/>
  <c r="G45" i="6" s="1"/>
  <c r="B46" i="6"/>
  <c r="C46" i="6" s="1"/>
  <c r="D46" i="6" s="1"/>
  <c r="E46" i="6" s="1"/>
  <c r="F46" i="6" s="1"/>
  <c r="G46" i="6" s="1"/>
  <c r="B47" i="6"/>
  <c r="C47" i="6" s="1"/>
  <c r="D47" i="6" s="1"/>
  <c r="E47" i="6" s="1"/>
  <c r="F47" i="6" s="1"/>
  <c r="G47" i="6" s="1"/>
  <c r="B48" i="6"/>
  <c r="C48" i="6" s="1"/>
  <c r="D48" i="6" s="1"/>
  <c r="E48" i="6" s="1"/>
  <c r="F48" i="6" s="1"/>
  <c r="G48" i="6" s="1"/>
  <c r="B49" i="6"/>
  <c r="C49" i="6" s="1"/>
  <c r="D49" i="6" s="1"/>
  <c r="E49" i="6" s="1"/>
  <c r="F49" i="6" s="1"/>
  <c r="G49" i="6" s="1"/>
  <c r="B50" i="6"/>
  <c r="C50" i="6" s="1"/>
  <c r="D50" i="6" s="1"/>
  <c r="E50" i="6" s="1"/>
  <c r="F50" i="6" s="1"/>
  <c r="G50" i="6" s="1"/>
  <c r="B51" i="6"/>
  <c r="C51" i="6" s="1"/>
  <c r="D51" i="6" s="1"/>
  <c r="E51" i="6" s="1"/>
  <c r="F51" i="6" s="1"/>
  <c r="G51" i="6" s="1"/>
  <c r="B74" i="6"/>
  <c r="B75" i="6"/>
  <c r="E55" i="4"/>
  <c r="E54" i="4"/>
  <c r="E53" i="4"/>
  <c r="C37" i="4"/>
  <c r="C19" i="4"/>
  <c r="E52" i="4"/>
  <c r="E45" i="4"/>
  <c r="E44" i="4"/>
  <c r="E43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22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4" i="4"/>
  <c r="B83" i="1"/>
  <c r="C83" i="1"/>
  <c r="D83" i="1"/>
  <c r="E83" i="1"/>
  <c r="F83" i="1"/>
  <c r="G83" i="1"/>
  <c r="H83" i="1"/>
  <c r="I83" i="1"/>
  <c r="C28" i="6" l="1"/>
  <c r="D28" i="6" s="1"/>
  <c r="B65" i="6"/>
  <c r="B67" i="6"/>
  <c r="B66" i="6"/>
  <c r="B73" i="6" s="1"/>
  <c r="L31" i="5"/>
  <c r="G40" i="6" s="1"/>
  <c r="F40" i="6"/>
  <c r="G52" i="6"/>
  <c r="C17" i="5"/>
  <c r="D17" i="5" s="1"/>
  <c r="E17" i="5" s="1"/>
  <c r="F17" i="5" s="1"/>
  <c r="L30" i="5"/>
  <c r="G39" i="6" s="1"/>
  <c r="F39" i="6"/>
  <c r="C18" i="5"/>
  <c r="D18" i="5" s="1"/>
  <c r="E18" i="5" s="1"/>
  <c r="F18" i="5" s="1"/>
  <c r="D14" i="6" s="1"/>
  <c r="E38" i="6"/>
  <c r="J29" i="5"/>
  <c r="B52" i="6"/>
  <c r="F52" i="6"/>
  <c r="B41" i="6"/>
  <c r="B27" i="5"/>
  <c r="E52" i="6"/>
  <c r="D52" i="6"/>
  <c r="C29" i="6"/>
  <c r="B62" i="6"/>
  <c r="C25" i="6"/>
  <c r="B60" i="6"/>
  <c r="C23" i="6"/>
  <c r="B59" i="6"/>
  <c r="C22" i="6"/>
  <c r="C59" i="6" s="1"/>
  <c r="C52" i="6"/>
  <c r="B64" i="6"/>
  <c r="C27" i="6"/>
  <c r="B63" i="6"/>
  <c r="C26" i="6"/>
  <c r="B61" i="6"/>
  <c r="C24" i="6"/>
  <c r="C21" i="5"/>
  <c r="D21" i="5" s="1"/>
  <c r="C17" i="6" s="1"/>
  <c r="C20" i="5"/>
  <c r="D20" i="5" s="1"/>
  <c r="C22" i="5"/>
  <c r="D22" i="5" s="1"/>
  <c r="C19" i="5"/>
  <c r="D19" i="5" s="1"/>
  <c r="E19" i="5" s="1"/>
  <c r="F19" i="5" s="1"/>
  <c r="G19" i="5" s="1"/>
  <c r="H19" i="5" s="1"/>
  <c r="C16" i="5"/>
  <c r="D16" i="5" s="1"/>
  <c r="B23" i="5"/>
  <c r="B31" i="6"/>
  <c r="B19" i="6"/>
  <c r="B57" i="6" s="1"/>
  <c r="E19" i="4"/>
  <c r="C14" i="6" l="1"/>
  <c r="C13" i="6"/>
  <c r="D15" i="6"/>
  <c r="E22" i="5"/>
  <c r="F22" i="5" s="1"/>
  <c r="D18" i="6" s="1"/>
  <c r="C18" i="6"/>
  <c r="C65" i="6"/>
  <c r="B53" i="6"/>
  <c r="F38" i="6"/>
  <c r="L29" i="5"/>
  <c r="G38" i="6" s="1"/>
  <c r="D24" i="6"/>
  <c r="C61" i="6"/>
  <c r="D26" i="6"/>
  <c r="C63" i="6"/>
  <c r="D27" i="6"/>
  <c r="C64" i="6"/>
  <c r="D30" i="6"/>
  <c r="C67" i="6"/>
  <c r="G18" i="5"/>
  <c r="H18" i="5" s="1"/>
  <c r="E14" i="6" s="1"/>
  <c r="D23" i="6"/>
  <c r="C60" i="6"/>
  <c r="D25" i="6"/>
  <c r="C62" i="6"/>
  <c r="E28" i="6"/>
  <c r="D65" i="6"/>
  <c r="D29" i="6"/>
  <c r="C66" i="6"/>
  <c r="C73" i="6" s="1"/>
  <c r="D22" i="6"/>
  <c r="D59" i="6" s="1"/>
  <c r="C31" i="6"/>
  <c r="B68" i="6"/>
  <c r="B70" i="6" s="1"/>
  <c r="B76" i="6" s="1"/>
  <c r="D27" i="5"/>
  <c r="B32" i="5"/>
  <c r="E21" i="5"/>
  <c r="F21" i="5" s="1"/>
  <c r="D17" i="6" s="1"/>
  <c r="C15" i="6"/>
  <c r="E20" i="5"/>
  <c r="F20" i="5" s="1"/>
  <c r="C16" i="6"/>
  <c r="D13" i="6"/>
  <c r="G17" i="5"/>
  <c r="H17" i="5" s="1"/>
  <c r="C23" i="5"/>
  <c r="I19" i="5"/>
  <c r="J19" i="5" s="1"/>
  <c r="E15" i="6"/>
  <c r="B32" i="6"/>
  <c r="C74" i="1"/>
  <c r="D74" i="1"/>
  <c r="E74" i="1"/>
  <c r="F74" i="1"/>
  <c r="G74" i="1"/>
  <c r="H74" i="1"/>
  <c r="B74" i="1"/>
  <c r="C73" i="1"/>
  <c r="I73" i="1" s="1"/>
  <c r="D73" i="1"/>
  <c r="E73" i="1"/>
  <c r="F73" i="1"/>
  <c r="G73" i="1"/>
  <c r="H73" i="1"/>
  <c r="B73" i="1"/>
  <c r="C72" i="1"/>
  <c r="I72" i="1" s="1"/>
  <c r="D72" i="1"/>
  <c r="E72" i="1"/>
  <c r="F72" i="1"/>
  <c r="G72" i="1"/>
  <c r="H72" i="1"/>
  <c r="B72" i="1"/>
  <c r="C71" i="1"/>
  <c r="D71" i="1"/>
  <c r="E71" i="1"/>
  <c r="F71" i="1"/>
  <c r="G71" i="1"/>
  <c r="H71" i="1"/>
  <c r="B71" i="1"/>
  <c r="C70" i="1"/>
  <c r="D70" i="1"/>
  <c r="E70" i="1"/>
  <c r="F70" i="1"/>
  <c r="G70" i="1"/>
  <c r="H70" i="1"/>
  <c r="B70" i="1"/>
  <c r="I70" i="1" s="1"/>
  <c r="C69" i="1"/>
  <c r="D69" i="1"/>
  <c r="E69" i="1"/>
  <c r="F69" i="1"/>
  <c r="G69" i="1"/>
  <c r="H69" i="1"/>
  <c r="B69" i="1"/>
  <c r="I69" i="1" s="1"/>
  <c r="C68" i="1"/>
  <c r="I68" i="1" s="1"/>
  <c r="D68" i="1"/>
  <c r="E68" i="1"/>
  <c r="F68" i="1"/>
  <c r="G68" i="1"/>
  <c r="H68" i="1"/>
  <c r="B68" i="1"/>
  <c r="C63" i="1"/>
  <c r="D63" i="1"/>
  <c r="E63" i="1"/>
  <c r="F63" i="1"/>
  <c r="G63" i="1"/>
  <c r="H63" i="1"/>
  <c r="I63" i="1"/>
  <c r="I66" i="1"/>
  <c r="I67" i="1"/>
  <c r="B63" i="1"/>
  <c r="C67" i="1"/>
  <c r="D67" i="1"/>
  <c r="E67" i="1"/>
  <c r="F67" i="1"/>
  <c r="G67" i="1"/>
  <c r="H67" i="1"/>
  <c r="B67" i="1"/>
  <c r="C66" i="1"/>
  <c r="D66" i="1"/>
  <c r="E66" i="1"/>
  <c r="F66" i="1"/>
  <c r="G66" i="1"/>
  <c r="H66" i="1"/>
  <c r="B66" i="1"/>
  <c r="C65" i="1"/>
  <c r="D65" i="1"/>
  <c r="E65" i="1"/>
  <c r="F65" i="1"/>
  <c r="G65" i="1"/>
  <c r="H65" i="1"/>
  <c r="B65" i="1"/>
  <c r="G35" i="1"/>
  <c r="H35" i="1"/>
  <c r="G59" i="1"/>
  <c r="H59" i="1"/>
  <c r="C59" i="1"/>
  <c r="D59" i="1"/>
  <c r="E59" i="1"/>
  <c r="F59" i="1"/>
  <c r="I49" i="1"/>
  <c r="I50" i="1"/>
  <c r="I51" i="1"/>
  <c r="I52" i="1"/>
  <c r="I53" i="1"/>
  <c r="I54" i="1"/>
  <c r="I55" i="1"/>
  <c r="I56" i="1"/>
  <c r="I57" i="1"/>
  <c r="I48" i="1"/>
  <c r="C58" i="1"/>
  <c r="D58" i="1"/>
  <c r="E58" i="1"/>
  <c r="F58" i="1"/>
  <c r="G58" i="1"/>
  <c r="H58" i="1"/>
  <c r="B58" i="1"/>
  <c r="B59" i="1" s="1"/>
  <c r="I41" i="1"/>
  <c r="I45" i="1" s="1"/>
  <c r="I42" i="1"/>
  <c r="I43" i="1"/>
  <c r="I44" i="1"/>
  <c r="I40" i="1"/>
  <c r="C45" i="1"/>
  <c r="D45" i="1"/>
  <c r="E45" i="1"/>
  <c r="F45" i="1"/>
  <c r="G45" i="1"/>
  <c r="H45" i="1"/>
  <c r="B45" i="1"/>
  <c r="I25" i="1"/>
  <c r="I26" i="1"/>
  <c r="I27" i="1"/>
  <c r="I28" i="1"/>
  <c r="I29" i="1"/>
  <c r="I30" i="1"/>
  <c r="I31" i="1"/>
  <c r="I32" i="1"/>
  <c r="I33" i="1"/>
  <c r="I24" i="1"/>
  <c r="C34" i="1"/>
  <c r="C35" i="1" s="1"/>
  <c r="D34" i="1"/>
  <c r="D35" i="1" s="1"/>
  <c r="E34" i="1"/>
  <c r="E35" i="1" s="1"/>
  <c r="F34" i="1"/>
  <c r="G34" i="1"/>
  <c r="H34" i="1"/>
  <c r="B34" i="1"/>
  <c r="B35" i="1" s="1"/>
  <c r="I15" i="1"/>
  <c r="I16" i="1"/>
  <c r="I17" i="1"/>
  <c r="I18" i="1"/>
  <c r="I19" i="1"/>
  <c r="I20" i="1"/>
  <c r="I14" i="1"/>
  <c r="I21" i="1" s="1"/>
  <c r="C21" i="1"/>
  <c r="D21" i="1"/>
  <c r="E21" i="1"/>
  <c r="F21" i="1"/>
  <c r="F35" i="1" s="1"/>
  <c r="G21" i="1"/>
  <c r="B21" i="1"/>
  <c r="C68" i="6" l="1"/>
  <c r="G22" i="5"/>
  <c r="H22" i="5" s="1"/>
  <c r="E18" i="6" s="1"/>
  <c r="G21" i="5"/>
  <c r="H21" i="5" s="1"/>
  <c r="E17" i="6" s="1"/>
  <c r="E25" i="6"/>
  <c r="D62" i="6"/>
  <c r="E30" i="6"/>
  <c r="D67" i="6"/>
  <c r="E23" i="6"/>
  <c r="D60" i="6"/>
  <c r="I18" i="5"/>
  <c r="J18" i="5" s="1"/>
  <c r="F14" i="6" s="1"/>
  <c r="E24" i="6"/>
  <c r="D61" i="6"/>
  <c r="E27" i="6"/>
  <c r="D64" i="6"/>
  <c r="E29" i="6"/>
  <c r="D66" i="6"/>
  <c r="D73" i="6" s="1"/>
  <c r="F28" i="6"/>
  <c r="E65" i="6"/>
  <c r="E26" i="6"/>
  <c r="D63" i="6"/>
  <c r="D32" i="5"/>
  <c r="C36" i="6"/>
  <c r="C41" i="6" s="1"/>
  <c r="C53" i="6" s="1"/>
  <c r="F27" i="5"/>
  <c r="E22" i="6"/>
  <c r="E59" i="6" s="1"/>
  <c r="D31" i="6"/>
  <c r="G20" i="5"/>
  <c r="H20" i="5" s="1"/>
  <c r="D16" i="6"/>
  <c r="I22" i="5"/>
  <c r="J22" i="5" s="1"/>
  <c r="F18" i="6" s="1"/>
  <c r="C12" i="6"/>
  <c r="C19" i="6" s="1"/>
  <c r="E16" i="5"/>
  <c r="D23" i="5"/>
  <c r="D24" i="5" s="1"/>
  <c r="E13" i="6"/>
  <c r="I17" i="5"/>
  <c r="J17" i="5" s="1"/>
  <c r="K19" i="5"/>
  <c r="L19" i="5" s="1"/>
  <c r="G15" i="6" s="1"/>
  <c r="F15" i="6"/>
  <c r="I65" i="1"/>
  <c r="I74" i="1"/>
  <c r="H75" i="1"/>
  <c r="H77" i="1" s="1"/>
  <c r="G75" i="1"/>
  <c r="G77" i="1" s="1"/>
  <c r="E75" i="1"/>
  <c r="E77" i="1" s="1"/>
  <c r="I71" i="1"/>
  <c r="F75" i="1"/>
  <c r="F77" i="1" s="1"/>
  <c r="B75" i="1"/>
  <c r="B77" i="1" s="1"/>
  <c r="D75" i="1"/>
  <c r="D77" i="1" s="1"/>
  <c r="C75" i="1"/>
  <c r="C77" i="1" s="1"/>
  <c r="I34" i="1"/>
  <c r="I35" i="1" s="1"/>
  <c r="I58" i="1"/>
  <c r="I59" i="1" s="1"/>
  <c r="I21" i="5" l="1"/>
  <c r="J21" i="5" s="1"/>
  <c r="K18" i="5"/>
  <c r="L18" i="5" s="1"/>
  <c r="G14" i="6" s="1"/>
  <c r="D68" i="6"/>
  <c r="G28" i="6"/>
  <c r="G65" i="6" s="1"/>
  <c r="F65" i="6"/>
  <c r="F29" i="6"/>
  <c r="E66" i="6"/>
  <c r="E73" i="6" s="1"/>
  <c r="F27" i="6"/>
  <c r="E64" i="6"/>
  <c r="F24" i="6"/>
  <c r="E61" i="6"/>
  <c r="F23" i="6"/>
  <c r="E60" i="6"/>
  <c r="F30" i="6"/>
  <c r="E67" i="6"/>
  <c r="F26" i="6"/>
  <c r="E63" i="6"/>
  <c r="F25" i="6"/>
  <c r="E62" i="6"/>
  <c r="C32" i="6"/>
  <c r="C57" i="6"/>
  <c r="C70" i="6" s="1"/>
  <c r="C76" i="6" s="1"/>
  <c r="F22" i="6"/>
  <c r="F59" i="6" s="1"/>
  <c r="E31" i="6"/>
  <c r="F32" i="5"/>
  <c r="H27" i="5"/>
  <c r="D36" i="6"/>
  <c r="D41" i="6" s="1"/>
  <c r="D53" i="6" s="1"/>
  <c r="I20" i="5"/>
  <c r="J20" i="5" s="1"/>
  <c r="E16" i="6"/>
  <c r="K22" i="5"/>
  <c r="L22" i="5" s="1"/>
  <c r="G18" i="6" s="1"/>
  <c r="K21" i="5"/>
  <c r="L21" i="5" s="1"/>
  <c r="G17" i="6" s="1"/>
  <c r="F17" i="6"/>
  <c r="K17" i="5"/>
  <c r="L17" i="5" s="1"/>
  <c r="G13" i="6" s="1"/>
  <c r="F13" i="6"/>
  <c r="E23" i="5"/>
  <c r="F16" i="5"/>
  <c r="I75" i="1"/>
  <c r="I77" i="1" s="1"/>
  <c r="E68" i="6" l="1"/>
  <c r="G30" i="6"/>
  <c r="G67" i="6" s="1"/>
  <c r="F67" i="6"/>
  <c r="G23" i="6"/>
  <c r="G60" i="6" s="1"/>
  <c r="F60" i="6"/>
  <c r="G26" i="6"/>
  <c r="G63" i="6" s="1"/>
  <c r="F63" i="6"/>
  <c r="G24" i="6"/>
  <c r="G61" i="6" s="1"/>
  <c r="F61" i="6"/>
  <c r="G27" i="6"/>
  <c r="G64" i="6" s="1"/>
  <c r="F64" i="6"/>
  <c r="G29" i="6"/>
  <c r="G66" i="6" s="1"/>
  <c r="G73" i="6" s="1"/>
  <c r="F66" i="6"/>
  <c r="F73" i="6" s="1"/>
  <c r="G25" i="6"/>
  <c r="G62" i="6" s="1"/>
  <c r="F62" i="6"/>
  <c r="J27" i="5"/>
  <c r="E36" i="6"/>
  <c r="E41" i="6" s="1"/>
  <c r="E53" i="6" s="1"/>
  <c r="H32" i="5"/>
  <c r="G22" i="6"/>
  <c r="F31" i="6"/>
  <c r="K20" i="5"/>
  <c r="L20" i="5" s="1"/>
  <c r="G16" i="6" s="1"/>
  <c r="F16" i="6"/>
  <c r="G16" i="5"/>
  <c r="D12" i="6"/>
  <c r="D19" i="6" s="1"/>
  <c r="F23" i="5"/>
  <c r="F24" i="5" s="1"/>
  <c r="F68" i="6" l="1"/>
  <c r="G31" i="6"/>
  <c r="G59" i="6"/>
  <c r="G68" i="6" s="1"/>
  <c r="D32" i="6"/>
  <c r="D57" i="6"/>
  <c r="D70" i="6" s="1"/>
  <c r="D76" i="6" s="1"/>
  <c r="L27" i="5"/>
  <c r="F36" i="6"/>
  <c r="F41" i="6" s="1"/>
  <c r="F53" i="6" s="1"/>
  <c r="J32" i="5"/>
  <c r="G23" i="5"/>
  <c r="H16" i="5"/>
  <c r="G36" i="6" l="1"/>
  <c r="G41" i="6" s="1"/>
  <c r="G53" i="6" s="1"/>
  <c r="L32" i="5"/>
  <c r="I16" i="5"/>
  <c r="E12" i="6"/>
  <c r="E19" i="6" s="1"/>
  <c r="H23" i="5"/>
  <c r="H24" i="5" s="1"/>
  <c r="E32" i="6" l="1"/>
  <c r="E57" i="6"/>
  <c r="E70" i="6" s="1"/>
  <c r="E76" i="6" s="1"/>
  <c r="I23" i="5"/>
  <c r="J16" i="5"/>
  <c r="F12" i="6" l="1"/>
  <c r="F19" i="6" s="1"/>
  <c r="J23" i="5"/>
  <c r="J24" i="5" s="1"/>
  <c r="K16" i="5"/>
  <c r="F32" i="6" l="1"/>
  <c r="F57" i="6"/>
  <c r="F70" i="6" s="1"/>
  <c r="F76" i="6" s="1"/>
  <c r="L16" i="5"/>
  <c r="G12" i="6" s="1"/>
  <c r="G19" i="6" s="1"/>
  <c r="K23" i="5"/>
  <c r="G32" i="6" l="1"/>
  <c r="G57" i="6"/>
  <c r="G70" i="6" s="1"/>
  <c r="G76" i="6" s="1"/>
  <c r="L23" i="5"/>
  <c r="L24" i="5" s="1"/>
</calcChain>
</file>

<file path=xl/sharedStrings.xml><?xml version="1.0" encoding="utf-8"?>
<sst xmlns="http://schemas.openxmlformats.org/spreadsheetml/2006/main" count="484" uniqueCount="197">
  <si>
    <t>CANOPS</t>
  </si>
  <si>
    <t xml:space="preserve">CAREER ACADEMY OF SOUTH BEND, INC.      </t>
  </si>
  <si>
    <t>5 Year Budget Model</t>
  </si>
  <si>
    <t>2025-2031 Network Operating Forecast</t>
  </si>
  <si>
    <t>As of:</t>
  </si>
  <si>
    <t>Base Year</t>
  </si>
  <si>
    <t>Year 1</t>
  </si>
  <si>
    <t>Year 2</t>
  </si>
  <si>
    <t>Year 3</t>
  </si>
  <si>
    <t>Year 4</t>
  </si>
  <si>
    <t>Year 5</t>
  </si>
  <si>
    <t>FY25/26</t>
  </si>
  <si>
    <t>FY26/27</t>
  </si>
  <si>
    <t>FY27/28</t>
  </si>
  <si>
    <t>FY28/29</t>
  </si>
  <si>
    <t>FY29/30</t>
  </si>
  <si>
    <t>FY30/31</t>
  </si>
  <si>
    <t>Enrollment</t>
  </si>
  <si>
    <t>Recurring:</t>
  </si>
  <si>
    <t>Revenue</t>
  </si>
  <si>
    <t>Education (Basic Grant)</t>
  </si>
  <si>
    <t>School Lunch</t>
  </si>
  <si>
    <t>Charter and Innovation</t>
  </si>
  <si>
    <t>Title I</t>
  </si>
  <si>
    <t>New Property Tax</t>
  </si>
  <si>
    <t>Special Ed Part B</t>
  </si>
  <si>
    <t>Other</t>
  </si>
  <si>
    <t>Total Recurring Revenue</t>
  </si>
  <si>
    <t>Expenses:</t>
  </si>
  <si>
    <t>People Costs</t>
  </si>
  <si>
    <t>Inst Prof Svcs</t>
  </si>
  <si>
    <t>Repairs, Maint, Rentals,Util</t>
  </si>
  <si>
    <t>Food Service, Food</t>
  </si>
  <si>
    <t>Operational Supplies</t>
  </si>
  <si>
    <t>Technology Supplies</t>
  </si>
  <si>
    <t>Interest</t>
  </si>
  <si>
    <t>Depreciation</t>
  </si>
  <si>
    <t>Total Expenses</t>
  </si>
  <si>
    <t>Net</t>
  </si>
  <si>
    <t>Non-Recurring:</t>
  </si>
  <si>
    <t>SIG</t>
  </si>
  <si>
    <t xml:space="preserve">Career Coaching </t>
  </si>
  <si>
    <t>Quality Counts</t>
  </si>
  <si>
    <t>Education Excellence</t>
  </si>
  <si>
    <t>Total Non Recurring Revenue</t>
  </si>
  <si>
    <t xml:space="preserve"> </t>
  </si>
  <si>
    <t>Total</t>
  </si>
  <si>
    <t>Cash Flow Adjustments:</t>
  </si>
  <si>
    <t>Add Back Depreciation</t>
  </si>
  <si>
    <t>Less Capital Expenditures</t>
  </si>
  <si>
    <t>Less Principal Payments</t>
  </si>
  <si>
    <t>Adjusted Net to Cash Flow</t>
  </si>
  <si>
    <t>CANPS</t>
  </si>
  <si>
    <t>FY26 Budget Summary-DRAFT</t>
  </si>
  <si>
    <t>Number</t>
  </si>
  <si>
    <t>Average Salary</t>
  </si>
  <si>
    <t>Total Expense</t>
  </si>
  <si>
    <t>INSTRUCTIONAL STAFF</t>
  </si>
  <si>
    <t>Teachers</t>
  </si>
  <si>
    <t>Special Ed Teacher</t>
  </si>
  <si>
    <t>Special Ed Para</t>
  </si>
  <si>
    <t>Instructional Assistant</t>
  </si>
  <si>
    <t>CTE</t>
  </si>
  <si>
    <t>Virtual</t>
  </si>
  <si>
    <t>Program Directors</t>
  </si>
  <si>
    <t>Total Instructional Staff:</t>
  </si>
  <si>
    <t>ADMIN &amp; SUPPORT</t>
  </si>
  <si>
    <t>Executive CEO CFO</t>
  </si>
  <si>
    <t>CIO</t>
  </si>
  <si>
    <t>Superintendents</t>
  </si>
  <si>
    <t>Principals</t>
  </si>
  <si>
    <t>Dean</t>
  </si>
  <si>
    <t>Business Office</t>
  </si>
  <si>
    <t>IT Support</t>
  </si>
  <si>
    <t>Facilities</t>
  </si>
  <si>
    <t>Total Admin &amp; Support Staff:</t>
  </si>
  <si>
    <t>Rate/Per Employee Expense</t>
  </si>
  <si>
    <t>BENEFITS</t>
  </si>
  <si>
    <t>Health Insurance (2)</t>
  </si>
  <si>
    <t>Retirement Contributions (3)</t>
  </si>
  <si>
    <t>Social Security</t>
  </si>
  <si>
    <t>Medicare</t>
  </si>
  <si>
    <t>Unemployment</t>
  </si>
  <si>
    <t>Other Compensation (4)</t>
  </si>
  <si>
    <t>SUMMARY</t>
  </si>
  <si>
    <t>Total Staff</t>
  </si>
  <si>
    <t>Total Salaries:</t>
  </si>
  <si>
    <t>Total Benefits:</t>
  </si>
  <si>
    <t>Total Salaries + Benefits:</t>
  </si>
  <si>
    <t>Student/teacher ratio</t>
  </si>
  <si>
    <t>Student/staff ratio</t>
  </si>
  <si>
    <t>2025-2026 Network Operating Budget</t>
  </si>
  <si>
    <t>CAREER ACADEMY</t>
  </si>
  <si>
    <t>SUCCESS ACADEMY</t>
  </si>
  <si>
    <t>PORTAGE SCHOOL</t>
  </si>
  <si>
    <t>VIRTUAL</t>
  </si>
  <si>
    <t>CENTRAL OFFICE</t>
  </si>
  <si>
    <t>HIGH SCHOOL</t>
  </si>
  <si>
    <t>MIDDLE SCHOOL</t>
  </si>
  <si>
    <t>PRIMARY SCHOOL</t>
  </si>
  <si>
    <t>BOYS GIRLS CLUB</t>
  </si>
  <si>
    <t>OF LEADERS</t>
  </si>
  <si>
    <t>ONLINE</t>
  </si>
  <si>
    <t>CTRL</t>
  </si>
  <si>
    <t>TOTAL</t>
  </si>
  <si>
    <t>Enrollment-FY26</t>
  </si>
  <si>
    <t>% Increase</t>
  </si>
  <si>
    <t>Online</t>
  </si>
  <si>
    <t>FTE</t>
  </si>
  <si>
    <t>Management Fees</t>
  </si>
  <si>
    <t>ESSER III</t>
  </si>
  <si>
    <t>INCREMENT LEVY</t>
  </si>
  <si>
    <t>John Glen School Corp</t>
  </si>
  <si>
    <t>Penn- Harris-Madison School Corp</t>
  </si>
  <si>
    <t>School City of Mishawaka</t>
  </si>
  <si>
    <t>8960 Purdue Polytechnic H.S.-S.B.</t>
  </si>
  <si>
    <t>9880 Career Academy H.S.</t>
  </si>
  <si>
    <t>9960 Success Academy Primary School</t>
  </si>
  <si>
    <t>9965 Career Academy Middle School</t>
  </si>
  <si>
    <t>9004 Paramount School of Excellance</t>
  </si>
  <si>
    <t>9027 Success Academy-Boys &amp; Girls Club</t>
  </si>
  <si>
    <t>9048 Portage School of Leaders</t>
  </si>
  <si>
    <t>New Prairie United School Corp</t>
  </si>
  <si>
    <t>South Bend School Corp</t>
  </si>
  <si>
    <t>Union-North United School Corp</t>
  </si>
  <si>
    <t>CANPS 5 year Authorizer Budget</t>
  </si>
  <si>
    <t>Base year:</t>
  </si>
  <si>
    <t>FY25/26 Budget</t>
  </si>
  <si>
    <t xml:space="preserve">Projection: </t>
  </si>
  <si>
    <t>FY 27 - FY 31</t>
  </si>
  <si>
    <t>Key Assumptions:</t>
  </si>
  <si>
    <t>Recurring revenue based on # students and basic grant:  change the grey cells on row 15 and the recurring revenue will fluctuate by enrollment count.  The cost of living in cell B9 drives the  % increase year over year</t>
  </si>
  <si>
    <t>Cost of Living</t>
  </si>
  <si>
    <t>revenue and expenses</t>
  </si>
  <si>
    <t>exclude interest &amp; depreciation</t>
  </si>
  <si>
    <t>Enrollment &amp; Recurring Revenue Caclulations:</t>
  </si>
  <si>
    <t>Per</t>
  </si>
  <si>
    <t>Student</t>
  </si>
  <si>
    <t>Enrollment:</t>
  </si>
  <si>
    <t>% increase =</t>
  </si>
  <si>
    <t>Nonrecurring Revenue:</t>
  </si>
  <si>
    <t>Cash Flow:</t>
  </si>
  <si>
    <t>Capital expenditures estimate</t>
  </si>
  <si>
    <t>flat from base year on</t>
  </si>
  <si>
    <t>Sum of FY26 Budget</t>
  </si>
  <si>
    <t>Column Labels</t>
  </si>
  <si>
    <t>Row Labels</t>
  </si>
  <si>
    <t>1-CAHS</t>
  </si>
  <si>
    <t>2-CAMS</t>
  </si>
  <si>
    <t>3-SAPS</t>
  </si>
  <si>
    <t>4-SABGC</t>
  </si>
  <si>
    <t>5-PSOL</t>
  </si>
  <si>
    <t>(blank)</t>
  </si>
  <si>
    <t>6-Online</t>
  </si>
  <si>
    <t>Grand Total</t>
  </si>
  <si>
    <t>1R</t>
  </si>
  <si>
    <t>Additional Paid Student Lunch Sales</t>
  </si>
  <si>
    <t>Adult Sales</t>
  </si>
  <si>
    <t>Ala Cart</t>
  </si>
  <si>
    <t>Basic Grant</t>
  </si>
  <si>
    <t>Basic Grant  new Property Tax</t>
  </si>
  <si>
    <t>Charter and Innovation Network School Grant</t>
  </si>
  <si>
    <t>CTE Basic Grant</t>
  </si>
  <si>
    <t>Curricular Material Reimbursements</t>
  </si>
  <si>
    <t>Curricular Material Rentals</t>
  </si>
  <si>
    <t>Daily Sales - After-School Programs</t>
  </si>
  <si>
    <t>Daily Sales - School Breakfast Program</t>
  </si>
  <si>
    <t>Daily Sales - School Lunch Program</t>
  </si>
  <si>
    <t>Interest on Investments</t>
  </si>
  <si>
    <t>Medicaid Reimbursement - State</t>
  </si>
  <si>
    <t>Non-English Speaking Program</t>
  </si>
  <si>
    <t>Performance Based Awards</t>
  </si>
  <si>
    <t>Perkins Grant Revenue</t>
  </si>
  <si>
    <t>Secured Schools Saftey Grant</t>
  </si>
  <si>
    <t>Special Education Grant</t>
  </si>
  <si>
    <t>Special Education Grants Part B</t>
  </si>
  <si>
    <t>Special Functions</t>
  </si>
  <si>
    <t>Title II</t>
  </si>
  <si>
    <t>Title IV</t>
  </si>
  <si>
    <t>Transfers from one fund to another</t>
  </si>
  <si>
    <t>Basic Grant online allocation</t>
  </si>
  <si>
    <t>Charter and Innovation Network School Grant-online alloc</t>
  </si>
  <si>
    <t>2NR</t>
  </si>
  <si>
    <t>Band Receipts</t>
  </si>
  <si>
    <t>Boys Basketball Entry Receipts</t>
  </si>
  <si>
    <t>Concession Stand Receipts</t>
  </si>
  <si>
    <t>E3 Sustainablility Fund</t>
  </si>
  <si>
    <t>High Ability Grant</t>
  </si>
  <si>
    <t>Literacy Achievement Grant</t>
  </si>
  <si>
    <t>Other - Quality Counts</t>
  </si>
  <si>
    <t>Restricted Grants-in-Aid - Career Coaching Grant</t>
  </si>
  <si>
    <t>Restricted Grants-in-Aid - CELL</t>
  </si>
  <si>
    <t xml:space="preserve">Robotics Grant </t>
  </si>
  <si>
    <t>Robotics Receipts</t>
  </si>
  <si>
    <t>Spanish Club Receipts</t>
  </si>
  <si>
    <t>Title SIG Grant (FY26 year 2)</t>
  </si>
  <si>
    <t>Track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</si>
</sst>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0.0000%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9" fontId="0" fillId="0" borderId="0" xfId="0" applyNumberFormat="1"/>
    <xf numFmtId="43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0" xfId="0" applyFill="1"/>
    <xf numFmtId="164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0" fontId="0" fillId="5" borderId="0" xfId="0" applyFill="1"/>
    <xf numFmtId="164" fontId="0" fillId="5" borderId="0" xfId="0" applyNumberFormat="1" applyFill="1"/>
    <xf numFmtId="0" fontId="2" fillId="0" borderId="0" xfId="0" applyFont="1"/>
    <xf numFmtId="0" fontId="3" fillId="0" borderId="0" xfId="0" applyFont="1"/>
    <xf numFmtId="5" fontId="0" fillId="0" borderId="0" xfId="0" applyNumberFormat="1"/>
    <xf numFmtId="3" fontId="0" fillId="0" borderId="0" xfId="0" applyNumberFormat="1"/>
    <xf numFmtId="165" fontId="0" fillId="0" borderId="0" xfId="0" applyNumberFormat="1"/>
    <xf numFmtId="44" fontId="0" fillId="0" borderId="0" xfId="0" applyNumberFormat="1"/>
    <xf numFmtId="166" fontId="0" fillId="0" borderId="0" xfId="0" applyNumberFormat="1"/>
    <xf numFmtId="10" fontId="0" fillId="0" borderId="0" xfId="0" applyNumberFormat="1"/>
    <xf numFmtId="42" fontId="0" fillId="0" borderId="0" xfId="0" applyNumberFormat="1"/>
    <xf numFmtId="165" fontId="0" fillId="0" borderId="1" xfId="0" applyNumberFormat="1" applyBorder="1"/>
    <xf numFmtId="44" fontId="0" fillId="0" borderId="1" xfId="0" applyNumberFormat="1" applyBorder="1"/>
    <xf numFmtId="44" fontId="0" fillId="0" borderId="0" xfId="1" applyFont="1"/>
    <xf numFmtId="167" fontId="0" fillId="0" borderId="0" xfId="3" applyNumberFormat="1" applyFont="1"/>
    <xf numFmtId="164" fontId="0" fillId="0" borderId="0" xfId="2" applyNumberFormat="1" applyFont="1"/>
    <xf numFmtId="0" fontId="4" fillId="0" borderId="0" xfId="0" applyFont="1"/>
    <xf numFmtId="0" fontId="4" fillId="0" borderId="2" xfId="0" applyFont="1" applyBorder="1" applyAlignment="1">
      <alignment horizontal="center"/>
    </xf>
    <xf numFmtId="164" fontId="0" fillId="0" borderId="2" xfId="2" applyNumberFormat="1" applyFont="1" applyBorder="1"/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4" fontId="0" fillId="0" borderId="2" xfId="0" applyNumberFormat="1" applyBorder="1"/>
    <xf numFmtId="10" fontId="4" fillId="6" borderId="0" xfId="3" applyNumberFormat="1" applyFont="1" applyFill="1"/>
    <xf numFmtId="164" fontId="4" fillId="6" borderId="0" xfId="0" applyNumberFormat="1" applyFont="1" applyFill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quotePrefix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164" fontId="0" fillId="0" borderId="9" xfId="2" applyNumberFormat="1" applyFont="1" applyBorder="1"/>
    <xf numFmtId="0" fontId="4" fillId="0" borderId="1" xfId="0" applyFont="1" applyBorder="1"/>
    <xf numFmtId="0" fontId="4" fillId="2" borderId="0" xfId="0" applyFont="1" applyFill="1"/>
    <xf numFmtId="164" fontId="4" fillId="0" borderId="0" xfId="2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5" fontId="4" fillId="0" borderId="0" xfId="0" applyNumberFormat="1" applyFont="1"/>
    <xf numFmtId="1" fontId="4" fillId="0" borderId="0" xfId="0" applyNumberFormat="1" applyFont="1"/>
    <xf numFmtId="14" fontId="4" fillId="0" borderId="0" xfId="0" applyNumberFormat="1" applyFont="1"/>
    <xf numFmtId="164" fontId="4" fillId="0" borderId="0" xfId="0" applyNumberFormat="1" applyFont="1"/>
    <xf numFmtId="9" fontId="4" fillId="0" borderId="0" xfId="0" applyNumberFormat="1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43" fontId="4" fillId="0" borderId="0" xfId="0" applyNumberFormat="1" applyFont="1"/>
    <xf numFmtId="0" fontId="4" fillId="0" borderId="0" xfId="0" applyFont="1" applyAlignment="1">
      <alignment horizontal="left"/>
    </xf>
    <xf numFmtId="0" fontId="0" fillId="9" borderId="0" xfId="0" applyFill="1"/>
    <xf numFmtId="0" fontId="0" fillId="0" borderId="12" xfId="0" applyBorder="1"/>
    <xf numFmtId="44" fontId="0" fillId="0" borderId="12" xfId="0" applyNumberFormat="1" applyBorder="1" applyAlignment="1">
      <alignment horizontal="center"/>
    </xf>
    <xf numFmtId="44" fontId="0" fillId="0" borderId="12" xfId="0" applyNumberFormat="1" applyBorder="1"/>
    <xf numFmtId="44" fontId="0" fillId="0" borderId="0" xfId="0" applyNumberFormat="1" applyAlignment="1">
      <alignment horizontal="center"/>
    </xf>
    <xf numFmtId="9" fontId="0" fillId="2" borderId="0" xfId="0" applyNumberFormat="1" applyFill="1"/>
    <xf numFmtId="44" fontId="0" fillId="2" borderId="0" xfId="0" applyNumberFormat="1" applyFill="1"/>
    <xf numFmtId="10" fontId="0" fillId="2" borderId="0" xfId="0" applyNumberFormat="1" applyFill="1"/>
    <xf numFmtId="0" fontId="0" fillId="10" borderId="0" xfId="0" applyFill="1"/>
    <xf numFmtId="10" fontId="0" fillId="10" borderId="0" xfId="0" applyNumberFormat="1" applyFill="1"/>
    <xf numFmtId="44" fontId="0" fillId="10" borderId="0" xfId="0" applyNumberFormat="1" applyFill="1"/>
    <xf numFmtId="44" fontId="0" fillId="11" borderId="0" xfId="0" applyNumberFormat="1" applyFill="1"/>
    <xf numFmtId="0" fontId="0" fillId="12" borderId="0" xfId="0" applyFill="1"/>
    <xf numFmtId="10" fontId="0" fillId="12" borderId="0" xfId="0" applyNumberFormat="1" applyFill="1"/>
    <xf numFmtId="44" fontId="0" fillId="12" borderId="0" xfId="0" applyNumberFormat="1" applyFill="1"/>
    <xf numFmtId="9" fontId="0" fillId="4" borderId="0" xfId="0" applyNumberFormat="1" applyFill="1"/>
    <xf numFmtId="44" fontId="0" fillId="4" borderId="0" xfId="0" applyNumberFormat="1" applyFill="1"/>
    <xf numFmtId="10" fontId="0" fillId="4" borderId="0" xfId="0" applyNumberFormat="1" applyFill="1"/>
    <xf numFmtId="0" fontId="0" fillId="13" borderId="0" xfId="0" applyFill="1"/>
    <xf numFmtId="9" fontId="0" fillId="13" borderId="0" xfId="0" applyNumberFormat="1" applyFill="1"/>
    <xf numFmtId="44" fontId="0" fillId="13" borderId="0" xfId="0" applyNumberFormat="1" applyFill="1"/>
    <xf numFmtId="10" fontId="0" fillId="13" borderId="0" xfId="0" applyNumberFormat="1" applyFill="1"/>
    <xf numFmtId="9" fontId="0" fillId="10" borderId="0" xfId="0" applyNumberFormat="1" applyFill="1"/>
    <xf numFmtId="9" fontId="0" fillId="12" borderId="0" xfId="0" applyNumberFormat="1" applyFill="1"/>
    <xf numFmtId="0" fontId="4" fillId="0" borderId="0" xfId="0" applyFont="1" applyFill="1"/>
    <xf numFmtId="164" fontId="0" fillId="0" borderId="0" xfId="0" applyNumberFormat="1" applyFill="1"/>
    <xf numFmtId="0" fontId="0" fillId="0" borderId="0" xfId="0" applyFill="1"/>
    <xf numFmtId="0" fontId="8" fillId="0" borderId="0" xfId="0" applyFont="1" applyAlignment="1">
      <alignment horizontal="center"/>
    </xf>
    <xf numFmtId="0" fontId="6" fillId="8" borderId="5" xfId="0" applyFont="1" applyFill="1" applyBorder="1" applyAlignment="1">
      <alignment horizontal="center" wrapText="1"/>
    </xf>
    <xf numFmtId="0" fontId="6" fillId="8" borderId="6" xfId="0" applyFont="1" applyFill="1" applyBorder="1" applyAlignment="1">
      <alignment horizontal="center" wrapText="1"/>
    </xf>
    <xf numFmtId="0" fontId="6" fillId="8" borderId="7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wrapText="1"/>
    </xf>
    <xf numFmtId="0" fontId="6" fillId="8" borderId="9" xfId="0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8" borderId="11" xfId="0" applyFont="1" applyFill="1" applyBorder="1" applyAlignment="1">
      <alignment horizontal="center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67</xdr:row>
      <xdr:rowOff>44870</xdr:rowOff>
    </xdr:from>
    <xdr:to>
      <xdr:col>13</xdr:col>
      <xdr:colOff>312375</xdr:colOff>
      <xdr:row>76</xdr:row>
      <xdr:rowOff>38350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A93744-E9BA-7FF2-0705-110214FD5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3943750"/>
          <a:ext cx="12199575" cy="163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D3749-8B94-4DC1-9752-45F4CA12A8C1}">
  <dimension ref="A1:H76"/>
  <sheetViews>
    <sheetView tabSelected="1" zoomScaleNormal="100" workbookViewId="0">
      <selection activeCell="B12" sqref="B12"/>
    </sheetView>
  </sheetViews>
  <sheetFormatPr defaultRowHeight="15"/>
  <cols>
    <col min="1" max="1" width="30.42578125" style="30" bestFit="1" customWidth="1"/>
    <col min="2" max="7" width="20.85546875" customWidth="1"/>
  </cols>
  <sheetData>
    <row r="1" spans="1:7" ht="21">
      <c r="A1" s="17" t="s">
        <v>0</v>
      </c>
      <c r="B1" s="87" t="s">
        <v>1</v>
      </c>
      <c r="C1" s="87"/>
      <c r="D1" s="87"/>
      <c r="E1" s="87"/>
      <c r="F1" s="87"/>
      <c r="G1" s="87"/>
    </row>
    <row r="2" spans="1:7" ht="21">
      <c r="A2" s="17" t="s">
        <v>2</v>
      </c>
      <c r="B2" s="87" t="s">
        <v>3</v>
      </c>
      <c r="C2" s="87"/>
      <c r="D2" s="87"/>
      <c r="E2" s="87"/>
      <c r="F2" s="87"/>
      <c r="G2" s="87"/>
    </row>
    <row r="3" spans="1:7">
      <c r="A3" s="30" t="s">
        <v>4</v>
      </c>
      <c r="B3" s="53">
        <v>45750</v>
      </c>
    </row>
    <row r="5" spans="1:7">
      <c r="B5" s="31" t="s">
        <v>5</v>
      </c>
      <c r="C5" s="31" t="s">
        <v>6</v>
      </c>
      <c r="D5" s="31" t="s">
        <v>7</v>
      </c>
      <c r="E5" s="31" t="s">
        <v>8</v>
      </c>
      <c r="F5" s="31" t="s">
        <v>9</v>
      </c>
      <c r="G5" s="31" t="s">
        <v>10</v>
      </c>
    </row>
    <row r="6" spans="1:7">
      <c r="B6" s="31" t="s">
        <v>11</v>
      </c>
      <c r="C6" s="31" t="s">
        <v>12</v>
      </c>
      <c r="D6" s="31" t="s">
        <v>13</v>
      </c>
      <c r="E6" s="31" t="s">
        <v>14</v>
      </c>
      <c r="F6" s="31" t="s">
        <v>15</v>
      </c>
      <c r="G6" s="31" t="s">
        <v>16</v>
      </c>
    </row>
    <row r="7" spans="1:7">
      <c r="B7" s="39"/>
      <c r="C7" s="39"/>
      <c r="D7" s="39"/>
      <c r="E7" s="39"/>
      <c r="F7" s="39"/>
      <c r="G7" s="39"/>
    </row>
    <row r="8" spans="1:7" s="30" customFormat="1">
      <c r="A8" s="30" t="s">
        <v>17</v>
      </c>
      <c r="B8" s="48">
        <f>+Notes!B15</f>
        <v>1807</v>
      </c>
      <c r="C8" s="48">
        <f>+Notes!D15</f>
        <v>1843.14</v>
      </c>
      <c r="D8" s="48">
        <f>+Notes!F15</f>
        <v>1880.0028000000002</v>
      </c>
      <c r="E8" s="48">
        <f>+Notes!H15</f>
        <v>1917.6028560000002</v>
      </c>
      <c r="F8" s="48">
        <f>+Notes!J15</f>
        <v>1918</v>
      </c>
      <c r="G8" s="48">
        <f>+Notes!L15</f>
        <v>1918</v>
      </c>
    </row>
    <row r="9" spans="1:7">
      <c r="B9" s="29"/>
    </row>
    <row r="10" spans="1:7">
      <c r="A10" s="30" t="s">
        <v>18</v>
      </c>
      <c r="B10" s="29"/>
    </row>
    <row r="11" spans="1:7">
      <c r="A11" s="49" t="s">
        <v>19</v>
      </c>
      <c r="B11" s="29"/>
    </row>
    <row r="12" spans="1:7">
      <c r="A12" s="50" t="s">
        <v>20</v>
      </c>
      <c r="B12" s="29">
        <f>+'25-26 Operating Budget'!I14</f>
        <v>16417980.697168855</v>
      </c>
      <c r="C12" s="2">
        <f>+Notes!D16</f>
        <v>17081267.117334478</v>
      </c>
      <c r="D12" s="29">
        <f>+Notes!F16</f>
        <v>17771350.308874793</v>
      </c>
      <c r="E12" s="29">
        <f>+Notes!H16</f>
        <v>18489312.861353334</v>
      </c>
      <c r="F12" s="29">
        <f>+Notes!J16</f>
        <v>18863004.921096761</v>
      </c>
      <c r="G12" s="29">
        <f>+Notes!L16</f>
        <v>19240265.019518696</v>
      </c>
    </row>
    <row r="13" spans="1:7">
      <c r="A13" s="50" t="s">
        <v>21</v>
      </c>
      <c r="B13" s="29">
        <f>+'25-26 Operating Budget'!I15</f>
        <v>1403970.7875428572</v>
      </c>
      <c r="C13" s="2">
        <f>+Notes!D17</f>
        <v>1460691.2073595887</v>
      </c>
      <c r="D13" s="29">
        <f>+Notes!F17</f>
        <v>1519703.1321369163</v>
      </c>
      <c r="E13" s="29">
        <f>+Notes!H17</f>
        <v>1581099.1386752478</v>
      </c>
      <c r="F13" s="29">
        <f>+Notes!J17</f>
        <v>1613055.1230982873</v>
      </c>
      <c r="G13" s="29">
        <f>+Notes!L17</f>
        <v>1645316.225560253</v>
      </c>
    </row>
    <row r="14" spans="1:7">
      <c r="A14" s="50" t="s">
        <v>22</v>
      </c>
      <c r="B14" s="29">
        <f>+'25-26 Operating Budget'!I16</f>
        <v>2569504</v>
      </c>
      <c r="C14" s="2">
        <f>+Notes!D18</f>
        <v>2673311.9616000005</v>
      </c>
      <c r="D14" s="29">
        <f>+Notes!F18</f>
        <v>2781313.7648486411</v>
      </c>
      <c r="E14" s="29">
        <f>+Notes!H18</f>
        <v>2893678.8409485267</v>
      </c>
      <c r="F14" s="29">
        <f>+Notes!J18</f>
        <v>2952163.6972770859</v>
      </c>
      <c r="G14" s="29">
        <f>+Notes!L18</f>
        <v>3011206.9712226274</v>
      </c>
    </row>
    <row r="15" spans="1:7">
      <c r="A15" s="50" t="s">
        <v>23</v>
      </c>
      <c r="B15" s="29">
        <f>+'25-26 Operating Budget'!I17</f>
        <v>926576.98765714292</v>
      </c>
      <c r="C15" s="2">
        <f>+Notes!D19</f>
        <v>964010.69795849151</v>
      </c>
      <c r="D15" s="29">
        <f>+Notes!F19</f>
        <v>1002956.7301560146</v>
      </c>
      <c r="E15" s="29">
        <f>+Notes!H19</f>
        <v>1043476.1820543176</v>
      </c>
      <c r="F15" s="29">
        <f>+Notes!J19</f>
        <v>1064566.1363803188</v>
      </c>
      <c r="G15" s="29">
        <f>+Notes!L19</f>
        <v>1085857.4591079252</v>
      </c>
    </row>
    <row r="16" spans="1:7">
      <c r="A16" s="50" t="s">
        <v>24</v>
      </c>
      <c r="B16" s="29">
        <f>+'25-26 Operating Budget'!I18</f>
        <v>832073.67812341882</v>
      </c>
      <c r="C16" s="2">
        <f>+Notes!D20</f>
        <v>865689.45471960504</v>
      </c>
      <c r="D16" s="29">
        <f>+Notes!F20</f>
        <v>900663.30869027704</v>
      </c>
      <c r="E16" s="29">
        <f>+Notes!H20</f>
        <v>937050.10636136425</v>
      </c>
      <c r="F16" s="29">
        <f>+Notes!J20</f>
        <v>955989.05703815783</v>
      </c>
      <c r="G16" s="29">
        <f>+Notes!L20</f>
        <v>975108.83817892103</v>
      </c>
    </row>
    <row r="17" spans="1:8">
      <c r="A17" s="50" t="s">
        <v>25</v>
      </c>
      <c r="B17" s="29">
        <f>+'25-26 Operating Budget'!I19</f>
        <v>331530.43679999991</v>
      </c>
      <c r="C17" s="2">
        <f>+Notes!D21</f>
        <v>344924.26644671994</v>
      </c>
      <c r="D17" s="29">
        <f>+Notes!F21</f>
        <v>358859.20681116747</v>
      </c>
      <c r="E17" s="29">
        <f>+Notes!H21</f>
        <v>373357.11876633862</v>
      </c>
      <c r="F17" s="29">
        <f>+Notes!J21</f>
        <v>380903.13152397296</v>
      </c>
      <c r="G17" s="29">
        <f>+Notes!L21</f>
        <v>388521.19415445242</v>
      </c>
    </row>
    <row r="18" spans="1:8">
      <c r="A18" s="50" t="s">
        <v>26</v>
      </c>
      <c r="B18" s="29">
        <f>+'25-26 Operating Budget'!I20</f>
        <v>1300299.9386571429</v>
      </c>
      <c r="C18" s="2">
        <f>+Notes!D22</f>
        <v>1352832.0561788916</v>
      </c>
      <c r="D18" s="29">
        <f>+Notes!F22</f>
        <v>1407486.4712485187</v>
      </c>
      <c r="E18" s="29">
        <f>+Notes!H22</f>
        <v>1464348.9246869588</v>
      </c>
      <c r="F18" s="29">
        <f>+Notes!J22</f>
        <v>1493945.2417568669</v>
      </c>
      <c r="G18" s="29">
        <f>+Notes!L22</f>
        <v>1523824.1465920042</v>
      </c>
    </row>
    <row r="19" spans="1:8">
      <c r="A19" s="50" t="s">
        <v>27</v>
      </c>
      <c r="B19" s="32">
        <f>SUM(B12:B18)</f>
        <v>23781936.525949419</v>
      </c>
      <c r="C19" s="32">
        <f t="shared" ref="C19:G19" si="0">SUM(C12:C18)</f>
        <v>24742726.761597779</v>
      </c>
      <c r="D19" s="32">
        <f t="shared" si="0"/>
        <v>25742332.922766328</v>
      </c>
      <c r="E19" s="32">
        <f t="shared" si="0"/>
        <v>26782323.172846083</v>
      </c>
      <c r="F19" s="32">
        <f t="shared" si="0"/>
        <v>27323627.308171451</v>
      </c>
      <c r="G19" s="32">
        <f t="shared" si="0"/>
        <v>27870099.854334876</v>
      </c>
    </row>
    <row r="20" spans="1:8">
      <c r="B20" s="29"/>
      <c r="C20" s="29"/>
      <c r="D20" s="29"/>
      <c r="E20" s="29"/>
      <c r="F20" s="29"/>
      <c r="G20" s="29"/>
    </row>
    <row r="21" spans="1:8">
      <c r="A21" s="49" t="s">
        <v>28</v>
      </c>
      <c r="B21" s="29"/>
    </row>
    <row r="22" spans="1:8">
      <c r="A22" s="50" t="s">
        <v>29</v>
      </c>
      <c r="B22" s="29">
        <f>+'25-26 Operating Budget'!I24</f>
        <v>12717167.482171429</v>
      </c>
      <c r="C22" s="29">
        <f>+B22*(1+Notes!$B$9)</f>
        <v>12971510.831814859</v>
      </c>
      <c r="D22" s="29">
        <f>+C22*(1+Notes!$B$9)</f>
        <v>13230941.048451157</v>
      </c>
      <c r="E22" s="29">
        <f>+D22*(1+Notes!$B$9)</f>
        <v>13495559.86942018</v>
      </c>
      <c r="F22" s="29">
        <f>+E22*(1+Notes!$B$9)</f>
        <v>13765471.066808583</v>
      </c>
      <c r="G22" s="29">
        <f>+F22*(1+Notes!$B$9)</f>
        <v>14040780.488144755</v>
      </c>
      <c r="H22" s="5"/>
    </row>
    <row r="23" spans="1:8">
      <c r="A23" s="50" t="s">
        <v>30</v>
      </c>
      <c r="B23" s="29">
        <f>+'25-26 Operating Budget'!I25</f>
        <v>1309353.8745580777</v>
      </c>
      <c r="C23" s="29">
        <f>+B23*(1+Notes!$B$9)</f>
        <v>1335540.9520492393</v>
      </c>
      <c r="D23" s="29">
        <f>+C23*(1+Notes!$B$9)</f>
        <v>1362251.7710902242</v>
      </c>
      <c r="E23" s="29">
        <f>+D23*(1+Notes!$B$9)</f>
        <v>1389496.8065120287</v>
      </c>
      <c r="F23" s="29">
        <f>+E23*(1+Notes!$B$9)</f>
        <v>1417286.7426422692</v>
      </c>
      <c r="G23" s="29">
        <f>+F23*(1+Notes!$B$9)</f>
        <v>1445632.4774951146</v>
      </c>
    </row>
    <row r="24" spans="1:8">
      <c r="A24" s="50" t="s">
        <v>31</v>
      </c>
      <c r="B24" s="29">
        <f>+'25-26 Operating Budget'!I26</f>
        <v>2119464.5357714286</v>
      </c>
      <c r="C24" s="29">
        <f>+B24*(1+Notes!$B$9)</f>
        <v>2161853.8264868571</v>
      </c>
      <c r="D24" s="29">
        <f>+C24*(1+Notes!$B$9)</f>
        <v>2205090.9030165942</v>
      </c>
      <c r="E24" s="29">
        <f>+D24*(1+Notes!$B$9)</f>
        <v>2249192.7210769262</v>
      </c>
      <c r="F24" s="29">
        <f>+E24*(1+Notes!$B$9)</f>
        <v>2294176.575498465</v>
      </c>
      <c r="G24" s="29">
        <f>+F24*(1+Notes!$B$9)</f>
        <v>2340060.1070084344</v>
      </c>
    </row>
    <row r="25" spans="1:8">
      <c r="A25" s="50" t="s">
        <v>32</v>
      </c>
      <c r="B25" s="29">
        <f>+'25-26 Operating Budget'!I27</f>
        <v>1488205.0511999999</v>
      </c>
      <c r="C25" s="29">
        <f>+B25*(1+Notes!$B$9)</f>
        <v>1517969.1522239998</v>
      </c>
      <c r="D25" s="29">
        <f>+C25*(1+Notes!$B$9)</f>
        <v>1548328.53526848</v>
      </c>
      <c r="E25" s="29">
        <f>+D25*(1+Notes!$B$9)</f>
        <v>1579295.1059738495</v>
      </c>
      <c r="F25" s="29">
        <f>+E25*(1+Notes!$B$9)</f>
        <v>1610881.0080933266</v>
      </c>
      <c r="G25" s="29">
        <f>+F25*(1+Notes!$B$9)</f>
        <v>1643098.6282551931</v>
      </c>
    </row>
    <row r="26" spans="1:8">
      <c r="A26" s="50" t="s">
        <v>33</v>
      </c>
      <c r="B26" s="29">
        <f>+'25-26 Operating Budget'!I28</f>
        <v>566663.21485714288</v>
      </c>
      <c r="C26" s="29">
        <f>+B26*(1+Notes!$B$9)</f>
        <v>577996.47915428574</v>
      </c>
      <c r="D26" s="29">
        <f>+C26*(1+Notes!$B$9)</f>
        <v>589556.40873737144</v>
      </c>
      <c r="E26" s="29">
        <f>+D26*(1+Notes!$B$9)</f>
        <v>601347.5369121189</v>
      </c>
      <c r="F26" s="29">
        <f>+E26*(1+Notes!$B$9)</f>
        <v>613374.48765036126</v>
      </c>
      <c r="G26" s="29">
        <f>+F26*(1+Notes!$B$9)</f>
        <v>625641.97740336845</v>
      </c>
    </row>
    <row r="27" spans="1:8">
      <c r="A27" s="50" t="s">
        <v>34</v>
      </c>
      <c r="B27" s="29">
        <f>+'25-26 Operating Budget'!I29</f>
        <v>394444.12422857143</v>
      </c>
      <c r="C27" s="29">
        <f>+B27*(1+Notes!$B$9)</f>
        <v>402333.00671314285</v>
      </c>
      <c r="D27" s="29">
        <f>+C27*(1+Notes!$B$9)</f>
        <v>410379.66684740572</v>
      </c>
      <c r="E27" s="29">
        <f>+D27*(1+Notes!$B$9)</f>
        <v>418587.26018435386</v>
      </c>
      <c r="F27" s="29">
        <f>+E27*(1+Notes!$B$9)</f>
        <v>426959.00538804097</v>
      </c>
      <c r="G27" s="29">
        <f>+F27*(1+Notes!$B$9)</f>
        <v>435498.18549580179</v>
      </c>
    </row>
    <row r="28" spans="1:8">
      <c r="A28" s="50" t="s">
        <v>35</v>
      </c>
      <c r="B28" s="29">
        <f>+'25-26 Operating Budget'!I31</f>
        <v>1344662.544</v>
      </c>
      <c r="C28" s="29">
        <f>+B28</f>
        <v>1344662.544</v>
      </c>
      <c r="D28" s="29">
        <f t="shared" ref="D28:G28" si="1">+C28</f>
        <v>1344662.544</v>
      </c>
      <c r="E28" s="29">
        <f t="shared" si="1"/>
        <v>1344662.544</v>
      </c>
      <c r="F28" s="29">
        <f t="shared" si="1"/>
        <v>1344662.544</v>
      </c>
      <c r="G28" s="29">
        <f t="shared" si="1"/>
        <v>1344662.544</v>
      </c>
    </row>
    <row r="29" spans="1:8">
      <c r="A29" s="50" t="s">
        <v>36</v>
      </c>
      <c r="B29" s="29">
        <f>+'25-26 Operating Budget'!I32</f>
        <v>2102784.2914285711</v>
      </c>
      <c r="C29" s="29">
        <f>+B29</f>
        <v>2102784.2914285711</v>
      </c>
      <c r="D29" s="29">
        <f t="shared" ref="D29:G29" si="2">+C29</f>
        <v>2102784.2914285711</v>
      </c>
      <c r="E29" s="29">
        <f t="shared" si="2"/>
        <v>2102784.2914285711</v>
      </c>
      <c r="F29" s="29">
        <f t="shared" si="2"/>
        <v>2102784.2914285711</v>
      </c>
      <c r="G29" s="29">
        <f t="shared" si="2"/>
        <v>2102784.2914285711</v>
      </c>
    </row>
    <row r="30" spans="1:8">
      <c r="A30" s="50" t="s">
        <v>26</v>
      </c>
      <c r="B30" s="29">
        <f>+'25-26 Operating Budget'!I33</f>
        <v>1142499.0857142855</v>
      </c>
      <c r="C30" s="29">
        <f>(+B30+Notes!E66)*(1+Notes!$B$9)</f>
        <v>1165349.0674285712</v>
      </c>
      <c r="D30" s="29">
        <f>+C30*(1+Notes!$B$9)</f>
        <v>1188656.0487771425</v>
      </c>
      <c r="E30" s="29">
        <f>+D30*(1+Notes!$B$9)</f>
        <v>1212429.1697526854</v>
      </c>
      <c r="F30" s="29">
        <f>+E30*(1+Notes!$B$9)</f>
        <v>1236677.753147739</v>
      </c>
      <c r="G30" s="29">
        <f>+F30*(1+Notes!$B$9)</f>
        <v>1261411.3082106938</v>
      </c>
      <c r="H30" s="5"/>
    </row>
    <row r="31" spans="1:8">
      <c r="A31" s="50" t="s">
        <v>37</v>
      </c>
      <c r="B31" s="32">
        <f>SUM(B22:B30)</f>
        <v>23185244.203929503</v>
      </c>
      <c r="C31" s="32">
        <f t="shared" ref="C31:G31" si="3">SUM(C22:C30)</f>
        <v>23580000.151299525</v>
      </c>
      <c r="D31" s="32">
        <f t="shared" si="3"/>
        <v>23982651.217616946</v>
      </c>
      <c r="E31" s="32">
        <f t="shared" si="3"/>
        <v>24393355.30526071</v>
      </c>
      <c r="F31" s="32">
        <f t="shared" si="3"/>
        <v>24812273.474657353</v>
      </c>
      <c r="G31" s="32">
        <f t="shared" si="3"/>
        <v>25239570.00744193</v>
      </c>
    </row>
    <row r="32" spans="1:8">
      <c r="A32" s="50" t="s">
        <v>38</v>
      </c>
      <c r="B32" s="32">
        <f>+B19-B31</f>
        <v>596692.32201991603</v>
      </c>
      <c r="C32" s="32">
        <f t="shared" ref="C32:G32" si="4">+C19-C31</f>
        <v>1162726.6102982536</v>
      </c>
      <c r="D32" s="32">
        <f t="shared" si="4"/>
        <v>1759681.7051493824</v>
      </c>
      <c r="E32" s="32">
        <f t="shared" si="4"/>
        <v>2388967.8675853722</v>
      </c>
      <c r="F32" s="32">
        <f t="shared" si="4"/>
        <v>2511353.8335140981</v>
      </c>
      <c r="G32" s="32">
        <f t="shared" si="4"/>
        <v>2630529.8468929455</v>
      </c>
    </row>
    <row r="33" spans="1:8">
      <c r="B33" s="29"/>
    </row>
    <row r="34" spans="1:8">
      <c r="A34" s="30" t="s">
        <v>39</v>
      </c>
      <c r="B34" s="29"/>
    </row>
    <row r="35" spans="1:8">
      <c r="A35" s="49" t="s">
        <v>19</v>
      </c>
      <c r="B35" s="29"/>
    </row>
    <row r="36" spans="1:8">
      <c r="A36" s="50" t="s">
        <v>40</v>
      </c>
      <c r="B36" s="29">
        <f>+'25-26 Operating Budget'!I40</f>
        <v>1000000</v>
      </c>
      <c r="C36" s="29">
        <f>+Notes!D27</f>
        <v>1000000</v>
      </c>
      <c r="D36" s="29">
        <f>+Notes!F27</f>
        <v>1000000</v>
      </c>
      <c r="E36" s="29">
        <f>+Notes!H27</f>
        <v>1000000</v>
      </c>
      <c r="F36" s="29">
        <f>+Notes!J27</f>
        <v>1000000</v>
      </c>
      <c r="G36" s="29">
        <f>+Notes!L27</f>
        <v>1000000</v>
      </c>
    </row>
    <row r="37" spans="1:8">
      <c r="A37" s="50" t="s">
        <v>41</v>
      </c>
      <c r="B37" s="29">
        <f>+'25-26 Operating Budget'!I41</f>
        <v>445484.76548571431</v>
      </c>
      <c r="C37" s="29">
        <f>+Notes!D28</f>
        <v>445000</v>
      </c>
      <c r="D37" s="29">
        <f>+Notes!F28</f>
        <v>445000</v>
      </c>
      <c r="E37" s="29">
        <f>+Notes!H28</f>
        <v>445000</v>
      </c>
      <c r="F37" s="29">
        <f>+Notes!J28</f>
        <v>445000</v>
      </c>
      <c r="G37" s="29">
        <f>+Notes!L28</f>
        <v>445000</v>
      </c>
    </row>
    <row r="38" spans="1:8">
      <c r="A38" s="50" t="s">
        <v>42</v>
      </c>
      <c r="B38" s="29">
        <f>+'25-26 Operating Budget'!I42</f>
        <v>1307297.4749714285</v>
      </c>
      <c r="C38" s="29">
        <f>+Notes!D29</f>
        <v>1000000</v>
      </c>
      <c r="D38" s="29">
        <f>+Notes!F29</f>
        <v>1000000</v>
      </c>
      <c r="E38" s="29">
        <f>+Notes!H29</f>
        <v>1000000</v>
      </c>
      <c r="F38" s="29">
        <f>+Notes!J29</f>
        <v>1000000</v>
      </c>
      <c r="G38" s="29">
        <f>+Notes!L29</f>
        <v>1000000</v>
      </c>
    </row>
    <row r="39" spans="1:8">
      <c r="A39" s="50" t="s">
        <v>43</v>
      </c>
      <c r="B39" s="29">
        <f>+'25-26 Operating Budget'!I43</f>
        <v>64038.525942857137</v>
      </c>
      <c r="C39" s="29">
        <f>+Notes!D30</f>
        <v>75000</v>
      </c>
      <c r="D39" s="29">
        <f>+Notes!F30</f>
        <v>75000</v>
      </c>
      <c r="E39" s="29">
        <f>+Notes!H30</f>
        <v>75000</v>
      </c>
      <c r="F39" s="29">
        <f>+Notes!J30</f>
        <v>75000</v>
      </c>
      <c r="G39" s="29">
        <f>+Notes!L30</f>
        <v>75000</v>
      </c>
    </row>
    <row r="40" spans="1:8">
      <c r="A40" s="50" t="s">
        <v>26</v>
      </c>
      <c r="B40" s="29">
        <f>+'25-26 Operating Budget'!I44</f>
        <v>432865.13451428572</v>
      </c>
      <c r="C40" s="29">
        <f>+Notes!D31</f>
        <v>450000</v>
      </c>
      <c r="D40" s="29">
        <f>+Notes!F31</f>
        <v>450000</v>
      </c>
      <c r="E40" s="29">
        <f>+Notes!H31</f>
        <v>450000</v>
      </c>
      <c r="F40" s="29">
        <f>+Notes!J31</f>
        <v>450000</v>
      </c>
      <c r="G40" s="29">
        <f>+Notes!L31</f>
        <v>450000</v>
      </c>
    </row>
    <row r="41" spans="1:8">
      <c r="A41" s="50" t="s">
        <v>44</v>
      </c>
      <c r="B41" s="32">
        <f>SUM(B36:B40)</f>
        <v>3249685.9009142853</v>
      </c>
      <c r="C41" s="32">
        <f t="shared" ref="C41:G41" si="5">SUM(C36:C40)</f>
        <v>2970000</v>
      </c>
      <c r="D41" s="32">
        <f t="shared" si="5"/>
        <v>2970000</v>
      </c>
      <c r="E41" s="32">
        <f t="shared" si="5"/>
        <v>2970000</v>
      </c>
      <c r="F41" s="32">
        <f t="shared" si="5"/>
        <v>2970000</v>
      </c>
      <c r="G41" s="32">
        <f t="shared" si="5"/>
        <v>2970000</v>
      </c>
    </row>
    <row r="42" spans="1:8">
      <c r="A42" s="30" t="s">
        <v>45</v>
      </c>
      <c r="B42" s="29"/>
    </row>
    <row r="43" spans="1:8">
      <c r="A43" s="49" t="s">
        <v>28</v>
      </c>
      <c r="B43" s="29"/>
    </row>
    <row r="44" spans="1:8">
      <c r="A44" s="50" t="s">
        <v>29</v>
      </c>
      <c r="B44" s="29">
        <f>+'25-26 Operating Budget'!I48</f>
        <v>2175903.1198857143</v>
      </c>
      <c r="C44" s="29">
        <f>+B44*(1+Notes!$B$9)</f>
        <v>2219421.1822834285</v>
      </c>
      <c r="D44" s="29">
        <f>+C44*(1+Notes!$B$9)</f>
        <v>2263809.6059290972</v>
      </c>
      <c r="E44" s="29">
        <f>+D44*(1+Notes!$B$9)</f>
        <v>2309085.798047679</v>
      </c>
      <c r="F44" s="29">
        <f>+E44*(1+Notes!$B$9)</f>
        <v>2355267.5140086329</v>
      </c>
      <c r="G44" s="29">
        <f>+F44*(1+Notes!$B$9)</f>
        <v>2402372.8642888055</v>
      </c>
      <c r="H44" s="5"/>
    </row>
    <row r="45" spans="1:8">
      <c r="A45" s="50" t="s">
        <v>30</v>
      </c>
      <c r="B45" s="29">
        <f>+'25-26 Operating Budget'!I49</f>
        <v>247431.45051428571</v>
      </c>
      <c r="C45" s="29">
        <f>+B45*(1+Notes!$B$9)</f>
        <v>252380.07952457143</v>
      </c>
      <c r="D45" s="29">
        <f>+C45*(1+Notes!$B$9)</f>
        <v>257427.68111506285</v>
      </c>
      <c r="E45" s="29">
        <f>+D45*(1+Notes!$B$9)</f>
        <v>262576.23473736411</v>
      </c>
      <c r="F45" s="29">
        <f>+E45*(1+Notes!$B$9)</f>
        <v>267827.7594321114</v>
      </c>
      <c r="G45" s="29">
        <f>+F45*(1+Notes!$B$9)</f>
        <v>273184.31462075363</v>
      </c>
      <c r="H45" s="5"/>
    </row>
    <row r="46" spans="1:8">
      <c r="A46" s="50" t="s">
        <v>31</v>
      </c>
      <c r="B46" s="29">
        <f>+'25-26 Operating Budget'!I50</f>
        <v>18350.854971428569</v>
      </c>
      <c r="C46" s="29">
        <f>+B46*(1+Notes!$B$9)</f>
        <v>18717.872070857142</v>
      </c>
      <c r="D46" s="29">
        <f>+C46*(1+Notes!$B$9)</f>
        <v>19092.229512274283</v>
      </c>
      <c r="E46" s="29">
        <f>+D46*(1+Notes!$B$9)</f>
        <v>19474.074102519771</v>
      </c>
      <c r="F46" s="29">
        <f>+E46*(1+Notes!$B$9)</f>
        <v>19863.555584570167</v>
      </c>
      <c r="G46" s="29">
        <f>+F46*(1+Notes!$B$9)</f>
        <v>20260.826696261571</v>
      </c>
      <c r="H46" s="5"/>
    </row>
    <row r="47" spans="1:8">
      <c r="A47" s="50" t="s">
        <v>32</v>
      </c>
      <c r="B47" s="29">
        <f>+'25-26 Operating Budget'!I51</f>
        <v>4631.4411428571429</v>
      </c>
      <c r="C47" s="29">
        <f>+B47*(1+Notes!$B$9)</f>
        <v>4724.0699657142859</v>
      </c>
      <c r="D47" s="29">
        <f>+C47*(1+Notes!$B$9)</f>
        <v>4818.551365028572</v>
      </c>
      <c r="E47" s="29">
        <f>+D47*(1+Notes!$B$9)</f>
        <v>4914.9223923291438</v>
      </c>
      <c r="F47" s="29">
        <f>+E47*(1+Notes!$B$9)</f>
        <v>5013.2208401757271</v>
      </c>
      <c r="G47" s="29">
        <f>+F47*(1+Notes!$B$9)</f>
        <v>5113.485256979242</v>
      </c>
      <c r="H47" s="5"/>
    </row>
    <row r="48" spans="1:8">
      <c r="A48" s="50" t="s">
        <v>33</v>
      </c>
      <c r="B48" s="29">
        <f>+'25-26 Operating Budget'!I52</f>
        <v>553896.40491428575</v>
      </c>
      <c r="C48" s="29">
        <f>+B48*(1+Notes!$B$9)</f>
        <v>564974.33301257144</v>
      </c>
      <c r="D48" s="29">
        <f>+C48*(1+Notes!$B$9)</f>
        <v>576273.81967282284</v>
      </c>
      <c r="E48" s="29">
        <f>+D48*(1+Notes!$B$9)</f>
        <v>587799.29606627929</v>
      </c>
      <c r="F48" s="29">
        <f>+E48*(1+Notes!$B$9)</f>
        <v>599555.28198760492</v>
      </c>
      <c r="G48" s="29">
        <f>+F48*(1+Notes!$B$9)</f>
        <v>611546.38762735703</v>
      </c>
      <c r="H48" s="5"/>
    </row>
    <row r="49" spans="1:8">
      <c r="A49" s="50" t="s">
        <v>34</v>
      </c>
      <c r="B49" s="29">
        <f>+'25-26 Operating Budget'!I53</f>
        <v>6377.9492571428573</v>
      </c>
      <c r="C49" s="29">
        <f>+B49*(1+Notes!$B$9)</f>
        <v>6505.5082422857149</v>
      </c>
      <c r="D49" s="29">
        <f>+C49*(1+Notes!$B$9)</f>
        <v>6635.6184071314292</v>
      </c>
      <c r="E49" s="29">
        <f>+D49*(1+Notes!$B$9)</f>
        <v>6768.3307752740575</v>
      </c>
      <c r="F49" s="29">
        <f>+E49*(1+Notes!$B$9)</f>
        <v>6903.6973907795391</v>
      </c>
      <c r="G49" s="29">
        <f>+F49*(1+Notes!$B$9)</f>
        <v>7041.7713385951301</v>
      </c>
      <c r="H49" s="5"/>
    </row>
    <row r="50" spans="1:8">
      <c r="A50" s="50" t="s">
        <v>36</v>
      </c>
      <c r="B50" s="29">
        <f>+'25-26 Operating Budget'!I56</f>
        <v>633045.01714285708</v>
      </c>
      <c r="C50" s="29">
        <f>+B50</f>
        <v>633045.01714285708</v>
      </c>
      <c r="D50" s="29">
        <f t="shared" ref="D50:G50" si="6">+C50</f>
        <v>633045.01714285708</v>
      </c>
      <c r="E50" s="29">
        <f t="shared" si="6"/>
        <v>633045.01714285708</v>
      </c>
      <c r="F50" s="29">
        <f t="shared" si="6"/>
        <v>633045.01714285708</v>
      </c>
      <c r="G50" s="29">
        <f t="shared" si="6"/>
        <v>633045.01714285708</v>
      </c>
      <c r="H50" s="5"/>
    </row>
    <row r="51" spans="1:8">
      <c r="A51" s="50" t="s">
        <v>26</v>
      </c>
      <c r="B51" s="29">
        <f>+'25-26 Operating Budget'!I57</f>
        <v>77605.446857142859</v>
      </c>
      <c r="C51" s="29">
        <f>+B51*(1+Notes!$B$9)</f>
        <v>79157.555794285712</v>
      </c>
      <c r="D51" s="29">
        <f>+C51*(1+Notes!$B$9)</f>
        <v>80740.70691017143</v>
      </c>
      <c r="E51" s="29">
        <f>+D51*(1+Notes!$B$9)</f>
        <v>82355.521048374852</v>
      </c>
      <c r="F51" s="29">
        <f>+E51*(1+Notes!$B$9)</f>
        <v>84002.631469342348</v>
      </c>
      <c r="G51" s="29">
        <f>+F51*(1+Notes!$B$9)</f>
        <v>85682.684098729194</v>
      </c>
      <c r="H51" s="5"/>
    </row>
    <row r="52" spans="1:8">
      <c r="A52" s="50" t="s">
        <v>37</v>
      </c>
      <c r="B52" s="32">
        <f>SUM(B44:B51)</f>
        <v>3717241.6846857136</v>
      </c>
      <c r="C52" s="32">
        <f t="shared" ref="C52:G52" si="7">SUM(C44:C51)</f>
        <v>3778925.6180365714</v>
      </c>
      <c r="D52" s="32">
        <f t="shared" si="7"/>
        <v>3841843.230054446</v>
      </c>
      <c r="E52" s="32">
        <f t="shared" si="7"/>
        <v>3906019.1943126768</v>
      </c>
      <c r="F52" s="32">
        <f t="shared" si="7"/>
        <v>3971478.6778560742</v>
      </c>
      <c r="G52" s="32">
        <f t="shared" si="7"/>
        <v>4038247.3510703389</v>
      </c>
    </row>
    <row r="53" spans="1:8">
      <c r="A53" s="50" t="s">
        <v>38</v>
      </c>
      <c r="B53" s="32">
        <f>+B41-B52</f>
        <v>-467555.78377142828</v>
      </c>
      <c r="C53" s="32">
        <f t="shared" ref="C53:G53" si="8">+C41-C52</f>
        <v>-808925.61803657142</v>
      </c>
      <c r="D53" s="32">
        <f t="shared" si="8"/>
        <v>-871843.23005444603</v>
      </c>
      <c r="E53" s="32">
        <f t="shared" si="8"/>
        <v>-936019.19431267679</v>
      </c>
      <c r="F53" s="32">
        <f t="shared" si="8"/>
        <v>-1001478.6778560742</v>
      </c>
      <c r="G53" s="32">
        <f t="shared" si="8"/>
        <v>-1068247.3510703389</v>
      </c>
    </row>
    <row r="54" spans="1:8">
      <c r="B54" s="29"/>
      <c r="C54" s="2"/>
    </row>
    <row r="55" spans="1:8">
      <c r="B55" s="29"/>
      <c r="G55" s="2"/>
    </row>
    <row r="56" spans="1:8">
      <c r="A56" s="30" t="s">
        <v>46</v>
      </c>
      <c r="B56" s="29"/>
    </row>
    <row r="57" spans="1:8">
      <c r="A57" s="49" t="s">
        <v>19</v>
      </c>
      <c r="B57" s="29">
        <f>+B19+B41</f>
        <v>27031622.426863704</v>
      </c>
      <c r="C57" s="29">
        <f t="shared" ref="C57:G57" si="9">+C19+C41</f>
        <v>27712726.761597779</v>
      </c>
      <c r="D57" s="29">
        <f t="shared" si="9"/>
        <v>28712332.922766328</v>
      </c>
      <c r="E57" s="29">
        <f t="shared" si="9"/>
        <v>29752323.172846083</v>
      </c>
      <c r="F57" s="29">
        <f t="shared" si="9"/>
        <v>30293627.308171451</v>
      </c>
      <c r="G57" s="29">
        <f t="shared" si="9"/>
        <v>30840099.854334876</v>
      </c>
    </row>
    <row r="58" spans="1:8">
      <c r="A58" s="49" t="s">
        <v>28</v>
      </c>
      <c r="B58" s="29"/>
    </row>
    <row r="59" spans="1:8">
      <c r="A59" s="49" t="s">
        <v>29</v>
      </c>
      <c r="B59" s="29">
        <f>+B22+B44</f>
        <v>14893070.602057144</v>
      </c>
      <c r="C59" s="29">
        <f t="shared" ref="C59:G59" si="10">+C22+C44</f>
        <v>15190932.014098287</v>
      </c>
      <c r="D59" s="29">
        <f t="shared" si="10"/>
        <v>15494750.654380254</v>
      </c>
      <c r="E59" s="29">
        <f t="shared" si="10"/>
        <v>15804645.667467859</v>
      </c>
      <c r="F59" s="29">
        <f t="shared" si="10"/>
        <v>16120738.580817215</v>
      </c>
      <c r="G59" s="29">
        <f t="shared" si="10"/>
        <v>16443153.35243356</v>
      </c>
    </row>
    <row r="60" spans="1:8">
      <c r="A60" s="49" t="s">
        <v>30</v>
      </c>
      <c r="B60" s="29">
        <f>+B23+B45</f>
        <v>1556785.3250723635</v>
      </c>
      <c r="C60" s="29">
        <f t="shared" ref="C60:G60" si="11">+C23+C45</f>
        <v>1587921.0315738106</v>
      </c>
      <c r="D60" s="29">
        <f t="shared" si="11"/>
        <v>1619679.4522052871</v>
      </c>
      <c r="E60" s="29">
        <f t="shared" si="11"/>
        <v>1652073.0412493928</v>
      </c>
      <c r="F60" s="29">
        <f t="shared" si="11"/>
        <v>1685114.5020743806</v>
      </c>
      <c r="G60" s="29">
        <f t="shared" si="11"/>
        <v>1718816.7921158681</v>
      </c>
    </row>
    <row r="61" spans="1:8">
      <c r="A61" s="49" t="s">
        <v>31</v>
      </c>
      <c r="B61" s="29">
        <f>+B24+B46</f>
        <v>2137815.390742857</v>
      </c>
      <c r="C61" s="29">
        <f t="shared" ref="C61:G61" si="12">+C24+C46</f>
        <v>2180571.6985577145</v>
      </c>
      <c r="D61" s="29">
        <f t="shared" si="12"/>
        <v>2224183.1325288685</v>
      </c>
      <c r="E61" s="29">
        <f t="shared" si="12"/>
        <v>2268666.7951794458</v>
      </c>
      <c r="F61" s="29">
        <f t="shared" si="12"/>
        <v>2314040.1310830354</v>
      </c>
      <c r="G61" s="29">
        <f t="shared" si="12"/>
        <v>2360320.9337046961</v>
      </c>
    </row>
    <row r="62" spans="1:8">
      <c r="A62" s="49" t="s">
        <v>32</v>
      </c>
      <c r="B62" s="29">
        <f t="shared" ref="B62:B64" si="13">+B25+B47</f>
        <v>1492836.4923428569</v>
      </c>
      <c r="C62" s="29">
        <f t="shared" ref="C62:G62" si="14">+C25+C47</f>
        <v>1522693.2221897142</v>
      </c>
      <c r="D62" s="29">
        <f t="shared" si="14"/>
        <v>1553147.0866335086</v>
      </c>
      <c r="E62" s="29">
        <f t="shared" si="14"/>
        <v>1584210.0283661787</v>
      </c>
      <c r="F62" s="29">
        <f t="shared" si="14"/>
        <v>1615894.2289335022</v>
      </c>
      <c r="G62" s="29">
        <f t="shared" si="14"/>
        <v>1648212.1135121724</v>
      </c>
    </row>
    <row r="63" spans="1:8">
      <c r="A63" s="49" t="s">
        <v>33</v>
      </c>
      <c r="B63" s="29">
        <f t="shared" si="13"/>
        <v>1120559.6197714286</v>
      </c>
      <c r="C63" s="29">
        <f t="shared" ref="C63:G63" si="15">+C26+C48</f>
        <v>1142970.8121668571</v>
      </c>
      <c r="D63" s="29">
        <f t="shared" si="15"/>
        <v>1165830.2284101942</v>
      </c>
      <c r="E63" s="29">
        <f t="shared" si="15"/>
        <v>1189146.8329783981</v>
      </c>
      <c r="F63" s="29">
        <f t="shared" si="15"/>
        <v>1212929.7696379661</v>
      </c>
      <c r="G63" s="29">
        <f t="shared" si="15"/>
        <v>1237188.3650307255</v>
      </c>
    </row>
    <row r="64" spans="1:8">
      <c r="A64" s="49" t="s">
        <v>34</v>
      </c>
      <c r="B64" s="29">
        <f t="shared" si="13"/>
        <v>400822.07348571427</v>
      </c>
      <c r="C64" s="29">
        <f t="shared" ref="C64:G64" si="16">+C27+C49</f>
        <v>408838.51495542855</v>
      </c>
      <c r="D64" s="29">
        <f t="shared" si="16"/>
        <v>417015.28525453713</v>
      </c>
      <c r="E64" s="29">
        <f t="shared" si="16"/>
        <v>425355.59095962794</v>
      </c>
      <c r="F64" s="29">
        <f t="shared" si="16"/>
        <v>433862.70277882053</v>
      </c>
      <c r="G64" s="29">
        <f t="shared" si="16"/>
        <v>442539.95683439693</v>
      </c>
    </row>
    <row r="65" spans="1:7">
      <c r="A65" s="49" t="s">
        <v>35</v>
      </c>
      <c r="B65" s="29">
        <f>+B28</f>
        <v>1344662.544</v>
      </c>
      <c r="C65" s="29">
        <f t="shared" ref="C65:G65" si="17">+C28</f>
        <v>1344662.544</v>
      </c>
      <c r="D65" s="29">
        <f t="shared" si="17"/>
        <v>1344662.544</v>
      </c>
      <c r="E65" s="29">
        <f t="shared" si="17"/>
        <v>1344662.544</v>
      </c>
      <c r="F65" s="29">
        <f t="shared" si="17"/>
        <v>1344662.544</v>
      </c>
      <c r="G65" s="29">
        <f t="shared" si="17"/>
        <v>1344662.544</v>
      </c>
    </row>
    <row r="66" spans="1:7">
      <c r="A66" s="49" t="s">
        <v>36</v>
      </c>
      <c r="B66" s="29">
        <f>+B29+B50</f>
        <v>2735829.3085714281</v>
      </c>
      <c r="C66" s="29">
        <f t="shared" ref="C66:G66" si="18">+C29+C50</f>
        <v>2735829.3085714281</v>
      </c>
      <c r="D66" s="29">
        <f t="shared" si="18"/>
        <v>2735829.3085714281</v>
      </c>
      <c r="E66" s="29">
        <f t="shared" si="18"/>
        <v>2735829.3085714281</v>
      </c>
      <c r="F66" s="29">
        <f t="shared" si="18"/>
        <v>2735829.3085714281</v>
      </c>
      <c r="G66" s="29">
        <f t="shared" si="18"/>
        <v>2735829.3085714281</v>
      </c>
    </row>
    <row r="67" spans="1:7">
      <c r="A67" s="49" t="s">
        <v>26</v>
      </c>
      <c r="B67" s="29">
        <f>+B30+B51</f>
        <v>1220104.5325714285</v>
      </c>
      <c r="C67" s="29">
        <f t="shared" ref="C67:G67" si="19">+C30+C51</f>
        <v>1244506.6232228568</v>
      </c>
      <c r="D67" s="29">
        <f t="shared" si="19"/>
        <v>1269396.7556873141</v>
      </c>
      <c r="E67" s="29">
        <f t="shared" si="19"/>
        <v>1294784.6908010603</v>
      </c>
      <c r="F67" s="29">
        <f t="shared" si="19"/>
        <v>1320680.3846170814</v>
      </c>
      <c r="G67" s="29">
        <f t="shared" si="19"/>
        <v>1347093.9923094229</v>
      </c>
    </row>
    <row r="68" spans="1:7">
      <c r="A68" s="49" t="s">
        <v>37</v>
      </c>
      <c r="B68" s="32">
        <f t="shared" ref="B68:G68" si="20">SUM(B59:B67)</f>
        <v>26902485.888615217</v>
      </c>
      <c r="C68" s="32">
        <f t="shared" si="20"/>
        <v>27358925.769336097</v>
      </c>
      <c r="D68" s="32">
        <f t="shared" si="20"/>
        <v>27824494.447671391</v>
      </c>
      <c r="E68" s="32">
        <f t="shared" si="20"/>
        <v>28299374.499573391</v>
      </c>
      <c r="F68" s="32">
        <f t="shared" si="20"/>
        <v>28783752.152513426</v>
      </c>
      <c r="G68" s="32">
        <f t="shared" si="20"/>
        <v>29277817.358512271</v>
      </c>
    </row>
    <row r="69" spans="1:7">
      <c r="A69" s="49"/>
      <c r="B69" s="29"/>
    </row>
    <row r="70" spans="1:7">
      <c r="A70" s="49" t="s">
        <v>38</v>
      </c>
      <c r="B70" s="32">
        <f>+B57-B68</f>
        <v>129136.53824848682</v>
      </c>
      <c r="C70" s="32">
        <f t="shared" ref="C70:G70" si="21">+C57-C68</f>
        <v>353800.99226168171</v>
      </c>
      <c r="D70" s="32">
        <f t="shared" si="21"/>
        <v>887838.47509493679</v>
      </c>
      <c r="E70" s="32">
        <f t="shared" si="21"/>
        <v>1452948.6732726917</v>
      </c>
      <c r="F70" s="32">
        <f t="shared" si="21"/>
        <v>1509875.1556580253</v>
      </c>
      <c r="G70" s="32">
        <f t="shared" si="21"/>
        <v>1562282.4958226047</v>
      </c>
    </row>
    <row r="71" spans="1:7">
      <c r="B71" s="29"/>
      <c r="C71" s="29"/>
      <c r="D71" s="29"/>
      <c r="E71" s="29"/>
      <c r="F71" s="29"/>
      <c r="G71" s="29"/>
    </row>
    <row r="72" spans="1:7">
      <c r="A72" s="30" t="s">
        <v>47</v>
      </c>
      <c r="B72" s="29"/>
    </row>
    <row r="73" spans="1:7">
      <c r="A73" s="49" t="s">
        <v>48</v>
      </c>
      <c r="B73" s="29">
        <f>+B66</f>
        <v>2735829.3085714281</v>
      </c>
      <c r="C73" s="29">
        <f t="shared" ref="C73:G73" si="22">+C66</f>
        <v>2735829.3085714281</v>
      </c>
      <c r="D73" s="29">
        <f t="shared" si="22"/>
        <v>2735829.3085714281</v>
      </c>
      <c r="E73" s="29">
        <f t="shared" si="22"/>
        <v>2735829.3085714281</v>
      </c>
      <c r="F73" s="29">
        <f t="shared" si="22"/>
        <v>2735829.3085714281</v>
      </c>
      <c r="G73" s="29">
        <f t="shared" si="22"/>
        <v>2735829.3085714281</v>
      </c>
    </row>
    <row r="74" spans="1:7">
      <c r="A74" s="49" t="s">
        <v>49</v>
      </c>
      <c r="B74" s="29">
        <f>+'25-26 Operating Budget'!I81</f>
        <v>-400000</v>
      </c>
      <c r="C74" s="29">
        <f>-Notes!B40</f>
        <v>-400000</v>
      </c>
      <c r="D74" s="29">
        <f>-Notes!F40</f>
        <v>-400000</v>
      </c>
      <c r="E74" s="29">
        <f>-Notes!H40</f>
        <v>-400000</v>
      </c>
      <c r="F74" s="29">
        <f>-Notes!J40</f>
        <v>-400000</v>
      </c>
      <c r="G74" s="29">
        <f>-Notes!L40</f>
        <v>-400000</v>
      </c>
    </row>
    <row r="75" spans="1:7">
      <c r="A75" s="49" t="s">
        <v>50</v>
      </c>
      <c r="B75" s="29">
        <f>+'25-26 Operating Budget'!I82</f>
        <v>-695750</v>
      </c>
      <c r="C75" s="29">
        <v>-477000</v>
      </c>
      <c r="D75" s="29">
        <v>-350000</v>
      </c>
      <c r="E75" s="29">
        <v>-350000</v>
      </c>
      <c r="F75" s="29">
        <v>-350000</v>
      </c>
      <c r="G75" s="29">
        <v>-588000</v>
      </c>
    </row>
    <row r="76" spans="1:7">
      <c r="A76" s="49" t="s">
        <v>51</v>
      </c>
      <c r="B76" s="32">
        <f>SUM(B70:B75)</f>
        <v>1769215.8468199149</v>
      </c>
      <c r="C76" s="32">
        <f t="shared" ref="C76:G76" si="23">SUM(C70:C75)</f>
        <v>2212630.3008331098</v>
      </c>
      <c r="D76" s="32">
        <f t="shared" si="23"/>
        <v>2873667.7836663648</v>
      </c>
      <c r="E76" s="32">
        <f t="shared" si="23"/>
        <v>3438777.9818441197</v>
      </c>
      <c r="F76" s="32">
        <f t="shared" si="23"/>
        <v>3495704.4642294534</v>
      </c>
      <c r="G76" s="32">
        <f t="shared" si="23"/>
        <v>3310111.8043940328</v>
      </c>
    </row>
  </sheetData>
  <mergeCells count="2">
    <mergeCell ref="B1:G1"/>
    <mergeCell ref="B2:G2"/>
  </mergeCells>
  <phoneticPr fontId="5" type="noConversion"/>
  <pageMargins left="0.25" right="0.25" top="0.75" bottom="0.75" header="0.3" footer="0.3"/>
  <pageSetup orientation="landscape" r:id="rId1"/>
  <headerFooter>
    <oddFooter>&amp;LPage &amp;P of &amp;N</oddFooter>
  </headerFooter>
  <rowBreaks count="1" manualBreakCount="1">
    <brk id="55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9E33D-ED8C-4769-932A-C7336E059304}">
  <dimension ref="A1:T59"/>
  <sheetViews>
    <sheetView workbookViewId="0"/>
  </sheetViews>
  <sheetFormatPr defaultRowHeight="15"/>
  <cols>
    <col min="1" max="1" width="26.28515625" style="30" bestFit="1" customWidth="1"/>
    <col min="3" max="20" width="22.85546875" customWidth="1"/>
  </cols>
  <sheetData>
    <row r="1" spans="1:20" s="30" customFormat="1">
      <c r="A1" s="17" t="s">
        <v>52</v>
      </c>
      <c r="B1" s="17"/>
      <c r="C1" s="51" t="s">
        <v>5</v>
      </c>
      <c r="F1" s="51" t="s">
        <v>6</v>
      </c>
      <c r="I1" s="51" t="s">
        <v>7</v>
      </c>
      <c r="L1" s="51" t="s">
        <v>8</v>
      </c>
      <c r="O1" s="51" t="s">
        <v>9</v>
      </c>
      <c r="R1" s="51" t="s">
        <v>10</v>
      </c>
    </row>
    <row r="2" spans="1:20" s="30" customFormat="1">
      <c r="A2" s="17" t="s">
        <v>53</v>
      </c>
      <c r="B2" s="17"/>
      <c r="C2" s="51" t="s">
        <v>54</v>
      </c>
      <c r="D2" s="51" t="s">
        <v>55</v>
      </c>
      <c r="E2" s="51" t="s">
        <v>56</v>
      </c>
      <c r="F2" s="51" t="s">
        <v>54</v>
      </c>
      <c r="G2" s="51" t="s">
        <v>55</v>
      </c>
      <c r="H2" s="51" t="s">
        <v>56</v>
      </c>
      <c r="I2" s="51" t="s">
        <v>54</v>
      </c>
      <c r="J2" s="51" t="s">
        <v>55</v>
      </c>
      <c r="K2" s="51" t="s">
        <v>56</v>
      </c>
      <c r="L2" s="51" t="s">
        <v>54</v>
      </c>
      <c r="M2" s="51" t="s">
        <v>55</v>
      </c>
      <c r="N2" s="51" t="s">
        <v>56</v>
      </c>
      <c r="O2" s="51" t="s">
        <v>54</v>
      </c>
      <c r="P2" s="51" t="s">
        <v>55</v>
      </c>
      <c r="Q2" s="51" t="s">
        <v>56</v>
      </c>
      <c r="R2" s="51" t="s">
        <v>54</v>
      </c>
      <c r="S2" s="51" t="s">
        <v>55</v>
      </c>
      <c r="T2" s="51" t="s">
        <v>56</v>
      </c>
    </row>
    <row r="3" spans="1:20">
      <c r="A3" s="30" t="s">
        <v>57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>
      <c r="A4" s="30" t="s">
        <v>58</v>
      </c>
      <c r="C4" s="20">
        <v>115</v>
      </c>
      <c r="D4" s="21">
        <v>57110</v>
      </c>
      <c r="E4" s="21">
        <f>SUM(C4*D4)</f>
        <v>6567650</v>
      </c>
      <c r="F4" s="20">
        <v>120</v>
      </c>
      <c r="G4" s="21">
        <f>SUM(D4*1.02)</f>
        <v>58252.200000000004</v>
      </c>
      <c r="H4" s="21">
        <f>SUM(F4*G4)</f>
        <v>6990264.0000000009</v>
      </c>
      <c r="I4" s="20">
        <v>120</v>
      </c>
      <c r="J4" s="21">
        <f>SUM(G4*1.02)</f>
        <v>59417.244000000006</v>
      </c>
      <c r="K4" s="21">
        <f>SUM(I4*J4)</f>
        <v>7130069.2800000012</v>
      </c>
      <c r="L4" s="20">
        <v>125</v>
      </c>
      <c r="M4" s="21">
        <f>SUM(J4*1.02)</f>
        <v>60605.58888000001</v>
      </c>
      <c r="N4" s="21">
        <f>SUM(L4*M4)</f>
        <v>7575698.6100000013</v>
      </c>
      <c r="O4" s="20">
        <v>125</v>
      </c>
      <c r="P4" s="21">
        <f>SUM(M4*1.02)</f>
        <v>61817.700657600013</v>
      </c>
      <c r="Q4" s="21">
        <f>SUM(O4*P4)</f>
        <v>7727212.5822000019</v>
      </c>
      <c r="R4" s="20">
        <v>125</v>
      </c>
      <c r="S4" s="21">
        <f>SUM(P4*1.02)</f>
        <v>63054.054670752012</v>
      </c>
      <c r="T4" s="21">
        <f>SUM(R4*S4)</f>
        <v>7881756.8338440014</v>
      </c>
    </row>
    <row r="5" spans="1:20">
      <c r="A5" s="30" t="s">
        <v>59</v>
      </c>
      <c r="C5" s="20">
        <v>5</v>
      </c>
      <c r="D5" s="21">
        <v>55000</v>
      </c>
      <c r="E5" s="21">
        <f t="shared" ref="E5:E18" si="0">SUM(C5*D5)</f>
        <v>275000</v>
      </c>
      <c r="F5" s="20">
        <v>6</v>
      </c>
      <c r="G5" s="21">
        <f t="shared" ref="G5:G10" si="1">SUM(D5*1.02)</f>
        <v>56100</v>
      </c>
      <c r="H5" s="21">
        <f t="shared" ref="H5:H18" si="2">SUM(F5*G5)</f>
        <v>336600</v>
      </c>
      <c r="I5" s="20">
        <v>6</v>
      </c>
      <c r="J5" s="21">
        <f t="shared" ref="J5:J10" si="3">SUM(G5*1.02)</f>
        <v>57222</v>
      </c>
      <c r="K5" s="21">
        <f t="shared" ref="K5:K18" si="4">SUM(I5*J5)</f>
        <v>343332</v>
      </c>
      <c r="L5" s="20">
        <v>7</v>
      </c>
      <c r="M5" s="21">
        <f t="shared" ref="M5:M10" si="5">SUM(J5*1.02)</f>
        <v>58366.44</v>
      </c>
      <c r="N5" s="21">
        <f t="shared" ref="N5:N18" si="6">SUM(L5*M5)</f>
        <v>408565.08</v>
      </c>
      <c r="O5" s="20">
        <v>7</v>
      </c>
      <c r="P5" s="21">
        <f t="shared" ref="P5:P10" si="7">SUM(M5*1.02)</f>
        <v>59533.768800000005</v>
      </c>
      <c r="Q5" s="21">
        <f t="shared" ref="Q5:Q18" si="8">SUM(O5*P5)</f>
        <v>416736.38160000002</v>
      </c>
      <c r="R5" s="20">
        <v>7</v>
      </c>
      <c r="S5" s="21">
        <f t="shared" ref="S5:S10" si="9">SUM(P5*1.02)</f>
        <v>60724.444176000005</v>
      </c>
      <c r="T5" s="21">
        <f t="shared" ref="T5:T18" si="10">SUM(R5*S5)</f>
        <v>425071.10923200002</v>
      </c>
    </row>
    <row r="6" spans="1:20">
      <c r="A6" s="30" t="s">
        <v>60</v>
      </c>
      <c r="C6" s="20">
        <v>6</v>
      </c>
      <c r="D6" s="21">
        <v>34709</v>
      </c>
      <c r="E6" s="21">
        <f t="shared" si="0"/>
        <v>208254</v>
      </c>
      <c r="F6" s="20">
        <v>7</v>
      </c>
      <c r="G6" s="21">
        <f t="shared" si="1"/>
        <v>35403.18</v>
      </c>
      <c r="H6" s="21">
        <f t="shared" si="2"/>
        <v>247822.26</v>
      </c>
      <c r="I6" s="20">
        <v>7</v>
      </c>
      <c r="J6" s="21">
        <f t="shared" si="3"/>
        <v>36111.243600000002</v>
      </c>
      <c r="K6" s="21">
        <f t="shared" si="4"/>
        <v>252778.70520000003</v>
      </c>
      <c r="L6" s="20">
        <v>8</v>
      </c>
      <c r="M6" s="21">
        <f t="shared" si="5"/>
        <v>36833.468472</v>
      </c>
      <c r="N6" s="21">
        <f t="shared" si="6"/>
        <v>294667.747776</v>
      </c>
      <c r="O6" s="20">
        <v>8</v>
      </c>
      <c r="P6" s="21">
        <f t="shared" si="7"/>
        <v>37570.137841440002</v>
      </c>
      <c r="Q6" s="21">
        <f t="shared" si="8"/>
        <v>300561.10273152002</v>
      </c>
      <c r="R6" s="20">
        <v>8</v>
      </c>
      <c r="S6" s="21">
        <f t="shared" si="9"/>
        <v>38321.540598268803</v>
      </c>
      <c r="T6" s="21">
        <f t="shared" si="10"/>
        <v>306572.32478615042</v>
      </c>
    </row>
    <row r="7" spans="1:20">
      <c r="A7" s="30" t="s">
        <v>61</v>
      </c>
      <c r="C7" s="20">
        <v>18</v>
      </c>
      <c r="D7" s="21">
        <v>38820</v>
      </c>
      <c r="E7" s="21">
        <f t="shared" si="0"/>
        <v>698760</v>
      </c>
      <c r="F7" s="20">
        <v>18</v>
      </c>
      <c r="G7" s="21">
        <f t="shared" si="1"/>
        <v>39596.400000000001</v>
      </c>
      <c r="H7" s="21">
        <f t="shared" si="2"/>
        <v>712735.20000000007</v>
      </c>
      <c r="I7" s="20">
        <v>18</v>
      </c>
      <c r="J7" s="21">
        <f t="shared" si="3"/>
        <v>40388.328000000001</v>
      </c>
      <c r="K7" s="21">
        <f t="shared" si="4"/>
        <v>726989.90399999998</v>
      </c>
      <c r="L7" s="20">
        <v>18</v>
      </c>
      <c r="M7" s="21">
        <f t="shared" si="5"/>
        <v>41196.094560000005</v>
      </c>
      <c r="N7" s="21">
        <f t="shared" si="6"/>
        <v>741529.70208000008</v>
      </c>
      <c r="O7" s="20">
        <v>18</v>
      </c>
      <c r="P7" s="21">
        <f t="shared" si="7"/>
        <v>42020.016451200005</v>
      </c>
      <c r="Q7" s="21">
        <f t="shared" si="8"/>
        <v>756360.29612160008</v>
      </c>
      <c r="R7" s="20">
        <v>18</v>
      </c>
      <c r="S7" s="21">
        <f t="shared" si="9"/>
        <v>42860.416780224004</v>
      </c>
      <c r="T7" s="21">
        <f t="shared" si="10"/>
        <v>771487.5020440321</v>
      </c>
    </row>
    <row r="8" spans="1:20">
      <c r="A8" s="30" t="s">
        <v>62</v>
      </c>
      <c r="C8" s="20">
        <v>12</v>
      </c>
      <c r="D8" s="21">
        <v>63881</v>
      </c>
      <c r="E8" s="21">
        <f t="shared" si="0"/>
        <v>766572</v>
      </c>
      <c r="F8" s="20">
        <v>12</v>
      </c>
      <c r="G8" s="21">
        <f t="shared" si="1"/>
        <v>65158.62</v>
      </c>
      <c r="H8" s="21">
        <f t="shared" si="2"/>
        <v>781903.44000000006</v>
      </c>
      <c r="I8" s="20">
        <v>12</v>
      </c>
      <c r="J8" s="21">
        <f t="shared" si="3"/>
        <v>66461.792400000006</v>
      </c>
      <c r="K8" s="21">
        <f t="shared" si="4"/>
        <v>797541.50880000007</v>
      </c>
      <c r="L8" s="20">
        <v>12</v>
      </c>
      <c r="M8" s="21">
        <f t="shared" si="5"/>
        <v>67791.028248000002</v>
      </c>
      <c r="N8" s="21">
        <f t="shared" si="6"/>
        <v>813492.33897599997</v>
      </c>
      <c r="O8" s="20">
        <v>12</v>
      </c>
      <c r="P8" s="21">
        <f t="shared" si="7"/>
        <v>69146.848812960001</v>
      </c>
      <c r="Q8" s="21">
        <f t="shared" si="8"/>
        <v>829762.18575552001</v>
      </c>
      <c r="R8" s="20">
        <v>12</v>
      </c>
      <c r="S8" s="21">
        <f t="shared" si="9"/>
        <v>70529.785789219197</v>
      </c>
      <c r="T8" s="21">
        <f t="shared" si="10"/>
        <v>846357.42947063036</v>
      </c>
    </row>
    <row r="9" spans="1:20">
      <c r="A9" s="30" t="s">
        <v>63</v>
      </c>
      <c r="C9" s="20">
        <v>5</v>
      </c>
      <c r="D9" s="21">
        <v>52000</v>
      </c>
      <c r="E9" s="21">
        <f t="shared" si="0"/>
        <v>260000</v>
      </c>
      <c r="F9" s="20">
        <v>6</v>
      </c>
      <c r="G9" s="21">
        <f t="shared" si="1"/>
        <v>53040</v>
      </c>
      <c r="H9" s="21">
        <f t="shared" si="2"/>
        <v>318240</v>
      </c>
      <c r="I9" s="20">
        <v>6</v>
      </c>
      <c r="J9" s="21">
        <f t="shared" si="3"/>
        <v>54100.800000000003</v>
      </c>
      <c r="K9" s="21">
        <f t="shared" si="4"/>
        <v>324604.80000000005</v>
      </c>
      <c r="L9" s="20">
        <v>6</v>
      </c>
      <c r="M9" s="21">
        <f t="shared" si="5"/>
        <v>55182.816000000006</v>
      </c>
      <c r="N9" s="21">
        <f t="shared" si="6"/>
        <v>331096.89600000007</v>
      </c>
      <c r="O9" s="20">
        <v>6</v>
      </c>
      <c r="P9" s="21">
        <f t="shared" si="7"/>
        <v>56286.472320000008</v>
      </c>
      <c r="Q9" s="21">
        <f t="shared" si="8"/>
        <v>337718.83392000006</v>
      </c>
      <c r="R9" s="20">
        <v>6</v>
      </c>
      <c r="S9" s="21">
        <f t="shared" si="9"/>
        <v>57412.201766400009</v>
      </c>
      <c r="T9" s="21">
        <f t="shared" si="10"/>
        <v>344473.21059840004</v>
      </c>
    </row>
    <row r="10" spans="1:20">
      <c r="A10" s="30" t="s">
        <v>64</v>
      </c>
      <c r="C10" s="20">
        <v>7</v>
      </c>
      <c r="D10" s="21">
        <v>85590</v>
      </c>
      <c r="E10" s="21">
        <f t="shared" si="0"/>
        <v>599130</v>
      </c>
      <c r="F10" s="20">
        <v>7</v>
      </c>
      <c r="G10" s="21">
        <f t="shared" si="1"/>
        <v>87301.8</v>
      </c>
      <c r="H10" s="21">
        <f t="shared" si="2"/>
        <v>611112.6</v>
      </c>
      <c r="I10" s="20">
        <v>7</v>
      </c>
      <c r="J10" s="21">
        <f t="shared" si="3"/>
        <v>89047.83600000001</v>
      </c>
      <c r="K10" s="21">
        <f t="shared" si="4"/>
        <v>623334.85200000007</v>
      </c>
      <c r="L10" s="20">
        <v>7</v>
      </c>
      <c r="M10" s="21">
        <f t="shared" si="5"/>
        <v>90828.792720000012</v>
      </c>
      <c r="N10" s="21">
        <f t="shared" si="6"/>
        <v>635801.54904000007</v>
      </c>
      <c r="O10" s="20">
        <v>7</v>
      </c>
      <c r="P10" s="21">
        <f t="shared" si="7"/>
        <v>92645.36857440001</v>
      </c>
      <c r="Q10" s="21">
        <f t="shared" si="8"/>
        <v>648517.58002080012</v>
      </c>
      <c r="R10" s="20">
        <v>7</v>
      </c>
      <c r="S10" s="21">
        <f t="shared" si="9"/>
        <v>94498.275945888017</v>
      </c>
      <c r="T10" s="21">
        <f t="shared" si="10"/>
        <v>661487.93162121612</v>
      </c>
    </row>
    <row r="11" spans="1:20">
      <c r="A11" s="30" t="s">
        <v>45</v>
      </c>
      <c r="C11" s="20"/>
      <c r="D11" s="21">
        <v>0</v>
      </c>
      <c r="E11" s="21">
        <f t="shared" si="0"/>
        <v>0</v>
      </c>
      <c r="F11" s="20"/>
      <c r="G11" s="21">
        <v>0</v>
      </c>
      <c r="H11" s="21">
        <f t="shared" si="2"/>
        <v>0</v>
      </c>
      <c r="I11" s="20"/>
      <c r="J11" s="21">
        <v>0</v>
      </c>
      <c r="K11" s="21">
        <f t="shared" si="4"/>
        <v>0</v>
      </c>
      <c r="L11" s="20"/>
      <c r="M11" s="21">
        <v>0</v>
      </c>
      <c r="N11" s="21">
        <f t="shared" si="6"/>
        <v>0</v>
      </c>
      <c r="O11" s="20"/>
      <c r="P11" s="21">
        <v>0</v>
      </c>
      <c r="Q11" s="21">
        <f t="shared" si="8"/>
        <v>0</v>
      </c>
      <c r="R11" s="20"/>
      <c r="S11" s="21">
        <v>0</v>
      </c>
      <c r="T11" s="21">
        <f t="shared" si="10"/>
        <v>0</v>
      </c>
    </row>
    <row r="12" spans="1:20">
      <c r="C12" s="20"/>
      <c r="D12" s="21">
        <v>0</v>
      </c>
      <c r="E12" s="21">
        <f t="shared" si="0"/>
        <v>0</v>
      </c>
      <c r="F12" s="20"/>
      <c r="G12" s="21">
        <v>0</v>
      </c>
      <c r="H12" s="21">
        <f t="shared" si="2"/>
        <v>0</v>
      </c>
      <c r="I12" s="20"/>
      <c r="J12" s="21">
        <v>0</v>
      </c>
      <c r="K12" s="21">
        <f t="shared" si="4"/>
        <v>0</v>
      </c>
      <c r="L12" s="20"/>
      <c r="M12" s="21">
        <v>0</v>
      </c>
      <c r="N12" s="21">
        <f t="shared" si="6"/>
        <v>0</v>
      </c>
      <c r="O12" s="20"/>
      <c r="P12" s="21">
        <v>0</v>
      </c>
      <c r="Q12" s="21">
        <f t="shared" si="8"/>
        <v>0</v>
      </c>
      <c r="R12" s="20"/>
      <c r="S12" s="21">
        <v>0</v>
      </c>
      <c r="T12" s="21">
        <f t="shared" si="10"/>
        <v>0</v>
      </c>
    </row>
    <row r="13" spans="1:20">
      <c r="C13" s="20"/>
      <c r="D13" s="21">
        <v>0</v>
      </c>
      <c r="E13" s="21">
        <f t="shared" si="0"/>
        <v>0</v>
      </c>
      <c r="F13" s="20"/>
      <c r="G13" s="21">
        <v>0</v>
      </c>
      <c r="H13" s="21">
        <f t="shared" si="2"/>
        <v>0</v>
      </c>
      <c r="I13" s="20"/>
      <c r="J13" s="21">
        <v>0</v>
      </c>
      <c r="K13" s="21">
        <f t="shared" si="4"/>
        <v>0</v>
      </c>
      <c r="L13" s="20"/>
      <c r="M13" s="21">
        <v>0</v>
      </c>
      <c r="N13" s="21">
        <f t="shared" si="6"/>
        <v>0</v>
      </c>
      <c r="O13" s="20"/>
      <c r="P13" s="21">
        <v>0</v>
      </c>
      <c r="Q13" s="21">
        <f t="shared" si="8"/>
        <v>0</v>
      </c>
      <c r="R13" s="20"/>
      <c r="S13" s="21">
        <v>0</v>
      </c>
      <c r="T13" s="21">
        <f t="shared" si="10"/>
        <v>0</v>
      </c>
    </row>
    <row r="14" spans="1:20">
      <c r="C14" s="20"/>
      <c r="D14" s="21">
        <v>0</v>
      </c>
      <c r="E14" s="21">
        <f t="shared" si="0"/>
        <v>0</v>
      </c>
      <c r="F14" s="20"/>
      <c r="G14" s="21">
        <v>0</v>
      </c>
      <c r="H14" s="21">
        <f t="shared" si="2"/>
        <v>0</v>
      </c>
      <c r="I14" s="20"/>
      <c r="J14" s="21">
        <v>0</v>
      </c>
      <c r="K14" s="21">
        <f t="shared" si="4"/>
        <v>0</v>
      </c>
      <c r="L14" s="20"/>
      <c r="M14" s="21">
        <v>0</v>
      </c>
      <c r="N14" s="21">
        <f t="shared" si="6"/>
        <v>0</v>
      </c>
      <c r="O14" s="20"/>
      <c r="P14" s="21">
        <v>0</v>
      </c>
      <c r="Q14" s="21">
        <f t="shared" si="8"/>
        <v>0</v>
      </c>
      <c r="R14" s="20"/>
      <c r="S14" s="21">
        <v>0</v>
      </c>
      <c r="T14" s="21">
        <f t="shared" si="10"/>
        <v>0</v>
      </c>
    </row>
    <row r="15" spans="1:20">
      <c r="C15" s="20"/>
      <c r="D15" s="21">
        <v>0</v>
      </c>
      <c r="E15" s="21">
        <f t="shared" si="0"/>
        <v>0</v>
      </c>
      <c r="F15" s="20"/>
      <c r="G15" s="21">
        <v>0</v>
      </c>
      <c r="H15" s="21">
        <f t="shared" si="2"/>
        <v>0</v>
      </c>
      <c r="I15" s="20"/>
      <c r="J15" s="21">
        <v>0</v>
      </c>
      <c r="K15" s="21">
        <f t="shared" si="4"/>
        <v>0</v>
      </c>
      <c r="L15" s="20"/>
      <c r="M15" s="21">
        <v>0</v>
      </c>
      <c r="N15" s="21">
        <f t="shared" si="6"/>
        <v>0</v>
      </c>
      <c r="O15" s="20"/>
      <c r="P15" s="21">
        <v>0</v>
      </c>
      <c r="Q15" s="21">
        <f t="shared" si="8"/>
        <v>0</v>
      </c>
      <c r="R15" s="20"/>
      <c r="S15" s="21">
        <v>0</v>
      </c>
      <c r="T15" s="21">
        <f t="shared" si="10"/>
        <v>0</v>
      </c>
    </row>
    <row r="16" spans="1:20">
      <c r="C16" s="20"/>
      <c r="D16" s="21">
        <v>0</v>
      </c>
      <c r="E16" s="21">
        <f t="shared" si="0"/>
        <v>0</v>
      </c>
      <c r="F16" s="20"/>
      <c r="G16" s="21">
        <v>0</v>
      </c>
      <c r="H16" s="21">
        <f t="shared" si="2"/>
        <v>0</v>
      </c>
      <c r="I16" s="20"/>
      <c r="J16" s="21">
        <v>0</v>
      </c>
      <c r="K16" s="21">
        <f t="shared" si="4"/>
        <v>0</v>
      </c>
      <c r="L16" s="20"/>
      <c r="M16" s="21">
        <v>0</v>
      </c>
      <c r="N16" s="21">
        <f t="shared" si="6"/>
        <v>0</v>
      </c>
      <c r="O16" s="20"/>
      <c r="P16" s="21">
        <v>0</v>
      </c>
      <c r="Q16" s="21">
        <f t="shared" si="8"/>
        <v>0</v>
      </c>
      <c r="R16" s="20"/>
      <c r="S16" s="21">
        <v>0</v>
      </c>
      <c r="T16" s="21">
        <f t="shared" si="10"/>
        <v>0</v>
      </c>
    </row>
    <row r="17" spans="1:20">
      <c r="C17" s="20"/>
      <c r="D17" s="21">
        <v>0</v>
      </c>
      <c r="E17" s="21">
        <f t="shared" si="0"/>
        <v>0</v>
      </c>
      <c r="F17" s="20"/>
      <c r="G17" s="21">
        <v>0</v>
      </c>
      <c r="H17" s="21">
        <f t="shared" si="2"/>
        <v>0</v>
      </c>
      <c r="I17" s="20"/>
      <c r="J17" s="21">
        <v>0</v>
      </c>
      <c r="K17" s="21">
        <f t="shared" si="4"/>
        <v>0</v>
      </c>
      <c r="L17" s="20"/>
      <c r="M17" s="21">
        <v>0</v>
      </c>
      <c r="N17" s="21">
        <f t="shared" si="6"/>
        <v>0</v>
      </c>
      <c r="O17" s="20"/>
      <c r="P17" s="21">
        <v>0</v>
      </c>
      <c r="Q17" s="21">
        <f t="shared" si="8"/>
        <v>0</v>
      </c>
      <c r="R17" s="20"/>
      <c r="S17" s="21">
        <v>0</v>
      </c>
      <c r="T17" s="21">
        <f t="shared" si="10"/>
        <v>0</v>
      </c>
    </row>
    <row r="18" spans="1:20">
      <c r="A18" s="46"/>
      <c r="B18" s="6"/>
      <c r="C18" s="25"/>
      <c r="D18" s="26">
        <v>0</v>
      </c>
      <c r="E18" s="26">
        <f t="shared" si="0"/>
        <v>0</v>
      </c>
      <c r="F18" s="25"/>
      <c r="G18" s="26">
        <v>0</v>
      </c>
      <c r="H18" s="26">
        <f t="shared" si="2"/>
        <v>0</v>
      </c>
      <c r="I18" s="25"/>
      <c r="J18" s="26">
        <v>0</v>
      </c>
      <c r="K18" s="26">
        <f t="shared" si="4"/>
        <v>0</v>
      </c>
      <c r="L18" s="25"/>
      <c r="M18" s="26">
        <v>0</v>
      </c>
      <c r="N18" s="26">
        <f t="shared" si="6"/>
        <v>0</v>
      </c>
      <c r="O18" s="25"/>
      <c r="P18" s="26">
        <v>0</v>
      </c>
      <c r="Q18" s="26">
        <f t="shared" si="8"/>
        <v>0</v>
      </c>
      <c r="R18" s="25"/>
      <c r="S18" s="26">
        <v>0</v>
      </c>
      <c r="T18" s="26">
        <f t="shared" si="10"/>
        <v>0</v>
      </c>
    </row>
    <row r="19" spans="1:20">
      <c r="A19" s="30" t="s">
        <v>65</v>
      </c>
      <c r="C19" s="20">
        <f>SUM(C4:C18)</f>
        <v>168</v>
      </c>
      <c r="D19" s="21"/>
      <c r="E19" s="21">
        <f>SUM(E4:E18)</f>
        <v>9375366</v>
      </c>
      <c r="F19" s="20">
        <f>SUM(F4:F18)</f>
        <v>176</v>
      </c>
      <c r="G19" s="21"/>
      <c r="H19" s="21">
        <f>SUM(H4:H18)</f>
        <v>9998677.5</v>
      </c>
      <c r="I19" s="20">
        <f>SUM(I4:I18)</f>
        <v>176</v>
      </c>
      <c r="J19" s="21"/>
      <c r="K19" s="21">
        <f>SUM(K4:K18)</f>
        <v>10198651.050000001</v>
      </c>
      <c r="L19" s="20">
        <f>SUM(L4:L18)</f>
        <v>183</v>
      </c>
      <c r="M19" s="21"/>
      <c r="N19" s="21">
        <f>SUM(N4:N18)</f>
        <v>10800851.923872001</v>
      </c>
      <c r="O19" s="20">
        <f>SUM(O4:O18)</f>
        <v>183</v>
      </c>
      <c r="P19" s="21"/>
      <c r="Q19" s="21">
        <f>SUM(Q4:Q18)</f>
        <v>11016868.962349441</v>
      </c>
      <c r="R19" s="20">
        <f>SUM(R4:R18)</f>
        <v>183</v>
      </c>
      <c r="S19" s="21"/>
      <c r="T19" s="21">
        <f>SUM(T4:T18)</f>
        <v>11237206.34159643</v>
      </c>
    </row>
    <row r="21" spans="1:20">
      <c r="A21" s="30" t="s">
        <v>66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>
      <c r="A22" s="30" t="s">
        <v>67</v>
      </c>
      <c r="C22" s="20">
        <v>2</v>
      </c>
      <c r="D22" s="21">
        <v>175000</v>
      </c>
      <c r="E22" s="21">
        <f>SUM(C22*D22)</f>
        <v>350000</v>
      </c>
      <c r="F22" s="20">
        <v>2</v>
      </c>
      <c r="G22" s="21">
        <f>SUM(D22*1.02)</f>
        <v>178500</v>
      </c>
      <c r="H22" s="21">
        <f>SUM(F22*G22)</f>
        <v>357000</v>
      </c>
      <c r="I22" s="20">
        <v>2</v>
      </c>
      <c r="J22" s="21">
        <f>SUM(G22*1.02)</f>
        <v>182070</v>
      </c>
      <c r="K22" s="21">
        <f>SUM(I22*J22)</f>
        <v>364140</v>
      </c>
      <c r="L22" s="20">
        <v>2</v>
      </c>
      <c r="M22" s="21">
        <f>SUM(J22*1.02)</f>
        <v>185711.4</v>
      </c>
      <c r="N22" s="21">
        <f>SUM(L22*M22)</f>
        <v>371422.8</v>
      </c>
      <c r="O22" s="20">
        <v>2</v>
      </c>
      <c r="P22" s="21">
        <f>SUM(M22*1.02)</f>
        <v>189425.628</v>
      </c>
      <c r="Q22" s="21">
        <f>SUM(O22*P22)</f>
        <v>378851.25599999999</v>
      </c>
      <c r="R22" s="20">
        <v>2</v>
      </c>
      <c r="S22" s="21">
        <f>SUM(P22*1.02)</f>
        <v>193214.14056</v>
      </c>
      <c r="T22" s="21">
        <f>SUM(R22*S22)</f>
        <v>386428.28112</v>
      </c>
    </row>
    <row r="23" spans="1:20">
      <c r="A23" s="30" t="s">
        <v>68</v>
      </c>
      <c r="C23" s="20">
        <v>1</v>
      </c>
      <c r="D23" s="21">
        <v>120000</v>
      </c>
      <c r="E23" s="21">
        <f t="shared" ref="E23:E36" si="11">SUM(C23*D23)</f>
        <v>120000</v>
      </c>
      <c r="F23" s="20">
        <v>1</v>
      </c>
      <c r="G23" s="21">
        <f t="shared" ref="G23:G29" si="12">SUM(D23*1.02)</f>
        <v>122400</v>
      </c>
      <c r="H23" s="21">
        <f t="shared" ref="H23:H36" si="13">SUM(F23*G23)</f>
        <v>122400</v>
      </c>
      <c r="I23" s="20">
        <v>1</v>
      </c>
      <c r="J23" s="21">
        <f t="shared" ref="J23:J29" si="14">SUM(G23*1.02)</f>
        <v>124848</v>
      </c>
      <c r="K23" s="21">
        <f t="shared" ref="K23:K36" si="15">SUM(I23*J23)</f>
        <v>124848</v>
      </c>
      <c r="L23" s="20">
        <v>1</v>
      </c>
      <c r="M23" s="21">
        <f t="shared" ref="M23:M29" si="16">SUM(J23*1.02)</f>
        <v>127344.96000000001</v>
      </c>
      <c r="N23" s="21">
        <f t="shared" ref="N23:N36" si="17">SUM(L23*M23)</f>
        <v>127344.96000000001</v>
      </c>
      <c r="O23" s="20">
        <v>1</v>
      </c>
      <c r="P23" s="21">
        <f t="shared" ref="P23:P29" si="18">SUM(M23*1.02)</f>
        <v>129891.85920000001</v>
      </c>
      <c r="Q23" s="21">
        <f t="shared" ref="Q23:Q36" si="19">SUM(O23*P23)</f>
        <v>129891.85920000001</v>
      </c>
      <c r="R23" s="20">
        <v>1</v>
      </c>
      <c r="S23" s="21">
        <f t="shared" ref="S23:S29" si="20">SUM(P23*1.02)</f>
        <v>132489.69638400001</v>
      </c>
      <c r="T23" s="21">
        <f t="shared" ref="T23:T36" si="21">SUM(R23*S23)</f>
        <v>132489.69638400001</v>
      </c>
    </row>
    <row r="24" spans="1:20">
      <c r="A24" s="30" t="s">
        <v>69</v>
      </c>
      <c r="C24" s="20">
        <v>2</v>
      </c>
      <c r="D24" s="21">
        <v>161311</v>
      </c>
      <c r="E24" s="21">
        <f t="shared" si="11"/>
        <v>322622</v>
      </c>
      <c r="F24" s="20">
        <v>2</v>
      </c>
      <c r="G24" s="21">
        <f t="shared" si="12"/>
        <v>164537.22</v>
      </c>
      <c r="H24" s="21">
        <f t="shared" si="13"/>
        <v>329074.44</v>
      </c>
      <c r="I24" s="20">
        <v>2</v>
      </c>
      <c r="J24" s="21">
        <f t="shared" si="14"/>
        <v>167827.9644</v>
      </c>
      <c r="K24" s="21">
        <f t="shared" si="15"/>
        <v>335655.92879999999</v>
      </c>
      <c r="L24" s="20">
        <v>2</v>
      </c>
      <c r="M24" s="21">
        <f t="shared" si="16"/>
        <v>171184.52368799999</v>
      </c>
      <c r="N24" s="21">
        <f t="shared" si="17"/>
        <v>342369.04737599997</v>
      </c>
      <c r="O24" s="20">
        <v>2</v>
      </c>
      <c r="P24" s="21">
        <f t="shared" si="18"/>
        <v>174608.21416176</v>
      </c>
      <c r="Q24" s="21">
        <f t="shared" si="19"/>
        <v>349216.42832352</v>
      </c>
      <c r="R24" s="20">
        <v>2</v>
      </c>
      <c r="S24" s="21">
        <f t="shared" si="20"/>
        <v>178100.37844499521</v>
      </c>
      <c r="T24" s="21">
        <f t="shared" si="21"/>
        <v>356200.75688999041</v>
      </c>
    </row>
    <row r="25" spans="1:20">
      <c r="A25" s="30" t="s">
        <v>70</v>
      </c>
      <c r="C25" s="20">
        <v>7</v>
      </c>
      <c r="D25" s="21">
        <v>96402</v>
      </c>
      <c r="E25" s="21">
        <f t="shared" si="11"/>
        <v>674814</v>
      </c>
      <c r="F25" s="20">
        <v>7</v>
      </c>
      <c r="G25" s="21">
        <f t="shared" si="12"/>
        <v>98330.040000000008</v>
      </c>
      <c r="H25" s="21">
        <f t="shared" si="13"/>
        <v>688310.28</v>
      </c>
      <c r="I25" s="20">
        <v>7</v>
      </c>
      <c r="J25" s="21">
        <f t="shared" si="14"/>
        <v>100296.64080000001</v>
      </c>
      <c r="K25" s="21">
        <f t="shared" si="15"/>
        <v>702076.48560000001</v>
      </c>
      <c r="L25" s="20">
        <v>7</v>
      </c>
      <c r="M25" s="21">
        <f t="shared" si="16"/>
        <v>102302.57361600001</v>
      </c>
      <c r="N25" s="21">
        <f t="shared" si="17"/>
        <v>716118.01531200006</v>
      </c>
      <c r="O25" s="20">
        <v>7</v>
      </c>
      <c r="P25" s="21">
        <f t="shared" si="18"/>
        <v>104348.62508832001</v>
      </c>
      <c r="Q25" s="21">
        <f t="shared" si="19"/>
        <v>730440.3756182401</v>
      </c>
      <c r="R25" s="20">
        <v>7</v>
      </c>
      <c r="S25" s="21">
        <f t="shared" si="20"/>
        <v>106435.59759008641</v>
      </c>
      <c r="T25" s="21">
        <f t="shared" si="21"/>
        <v>745049.18313060491</v>
      </c>
    </row>
    <row r="26" spans="1:20">
      <c r="A26" s="30" t="s">
        <v>71</v>
      </c>
      <c r="C26" s="20">
        <v>3</v>
      </c>
      <c r="D26" s="21">
        <v>80902</v>
      </c>
      <c r="E26" s="21">
        <f t="shared" si="11"/>
        <v>242706</v>
      </c>
      <c r="F26" s="20">
        <v>3</v>
      </c>
      <c r="G26" s="21">
        <f t="shared" si="12"/>
        <v>82520.040000000008</v>
      </c>
      <c r="H26" s="21">
        <f t="shared" si="13"/>
        <v>247560.12000000002</v>
      </c>
      <c r="I26" s="20">
        <v>3</v>
      </c>
      <c r="J26" s="21">
        <f t="shared" si="14"/>
        <v>84170.440800000011</v>
      </c>
      <c r="K26" s="21">
        <f t="shared" si="15"/>
        <v>252511.32240000003</v>
      </c>
      <c r="L26" s="20">
        <v>3</v>
      </c>
      <c r="M26" s="21">
        <f t="shared" si="16"/>
        <v>85853.849616000007</v>
      </c>
      <c r="N26" s="21">
        <f t="shared" si="17"/>
        <v>257561.54884800001</v>
      </c>
      <c r="O26" s="20">
        <v>3</v>
      </c>
      <c r="P26" s="21">
        <f t="shared" si="18"/>
        <v>87570.926608320005</v>
      </c>
      <c r="Q26" s="21">
        <f t="shared" si="19"/>
        <v>262712.77982496005</v>
      </c>
      <c r="R26" s="20">
        <v>3</v>
      </c>
      <c r="S26" s="21">
        <f t="shared" si="20"/>
        <v>89322.345140486403</v>
      </c>
      <c r="T26" s="21">
        <f t="shared" si="21"/>
        <v>267967.03542145924</v>
      </c>
    </row>
    <row r="27" spans="1:20">
      <c r="A27" s="30" t="s">
        <v>72</v>
      </c>
      <c r="C27" s="20">
        <v>6</v>
      </c>
      <c r="D27" s="21">
        <v>54000</v>
      </c>
      <c r="E27" s="21">
        <f t="shared" si="11"/>
        <v>324000</v>
      </c>
      <c r="F27" s="20">
        <v>6</v>
      </c>
      <c r="G27" s="21">
        <f t="shared" si="12"/>
        <v>55080</v>
      </c>
      <c r="H27" s="21">
        <f t="shared" si="13"/>
        <v>330480</v>
      </c>
      <c r="I27" s="20">
        <v>6</v>
      </c>
      <c r="J27" s="21">
        <f t="shared" si="14"/>
        <v>56181.599999999999</v>
      </c>
      <c r="K27" s="21">
        <f t="shared" si="15"/>
        <v>337089.6</v>
      </c>
      <c r="L27" s="20">
        <v>6</v>
      </c>
      <c r="M27" s="21">
        <f t="shared" si="16"/>
        <v>57305.231999999996</v>
      </c>
      <c r="N27" s="21">
        <f t="shared" si="17"/>
        <v>343831.39199999999</v>
      </c>
      <c r="O27" s="20">
        <v>6</v>
      </c>
      <c r="P27" s="21">
        <f t="shared" si="18"/>
        <v>58451.336639999994</v>
      </c>
      <c r="Q27" s="21">
        <f t="shared" si="19"/>
        <v>350708.01983999996</v>
      </c>
      <c r="R27" s="20">
        <v>6</v>
      </c>
      <c r="S27" s="21">
        <f t="shared" si="20"/>
        <v>59620.363372799999</v>
      </c>
      <c r="T27" s="21">
        <f t="shared" si="21"/>
        <v>357722.18023679999</v>
      </c>
    </row>
    <row r="28" spans="1:20">
      <c r="A28" s="30" t="s">
        <v>73</v>
      </c>
      <c r="C28" s="20">
        <v>4</v>
      </c>
      <c r="D28" s="21">
        <v>45650</v>
      </c>
      <c r="E28" s="21">
        <f t="shared" si="11"/>
        <v>182600</v>
      </c>
      <c r="F28" s="20">
        <v>4</v>
      </c>
      <c r="G28" s="21">
        <f t="shared" si="12"/>
        <v>46563</v>
      </c>
      <c r="H28" s="21">
        <f t="shared" si="13"/>
        <v>186252</v>
      </c>
      <c r="I28" s="20">
        <v>4</v>
      </c>
      <c r="J28" s="21">
        <f t="shared" si="14"/>
        <v>47494.26</v>
      </c>
      <c r="K28" s="21">
        <f t="shared" si="15"/>
        <v>189977.04</v>
      </c>
      <c r="L28" s="20">
        <v>4</v>
      </c>
      <c r="M28" s="21">
        <f t="shared" si="16"/>
        <v>48444.145200000006</v>
      </c>
      <c r="N28" s="21">
        <f t="shared" si="17"/>
        <v>193776.58080000003</v>
      </c>
      <c r="O28" s="20">
        <v>4</v>
      </c>
      <c r="P28" s="21">
        <f t="shared" si="18"/>
        <v>49413.028104000005</v>
      </c>
      <c r="Q28" s="21">
        <f t="shared" si="19"/>
        <v>197652.11241600002</v>
      </c>
      <c r="R28" s="20">
        <v>4</v>
      </c>
      <c r="S28" s="21">
        <f t="shared" si="20"/>
        <v>50401.288666080007</v>
      </c>
      <c r="T28" s="21">
        <f t="shared" si="21"/>
        <v>201605.15466432003</v>
      </c>
    </row>
    <row r="29" spans="1:20">
      <c r="A29" s="30" t="s">
        <v>74</v>
      </c>
      <c r="C29" s="20">
        <v>3</v>
      </c>
      <c r="D29" s="21">
        <v>58000</v>
      </c>
      <c r="E29" s="21">
        <f t="shared" si="11"/>
        <v>174000</v>
      </c>
      <c r="F29" s="20">
        <v>3</v>
      </c>
      <c r="G29" s="21">
        <f t="shared" si="12"/>
        <v>59160</v>
      </c>
      <c r="H29" s="21">
        <f t="shared" si="13"/>
        <v>177480</v>
      </c>
      <c r="I29" s="20">
        <v>3</v>
      </c>
      <c r="J29" s="21">
        <f t="shared" si="14"/>
        <v>60343.200000000004</v>
      </c>
      <c r="K29" s="21">
        <f t="shared" si="15"/>
        <v>181029.6</v>
      </c>
      <c r="L29" s="20">
        <v>3</v>
      </c>
      <c r="M29" s="21">
        <f t="shared" si="16"/>
        <v>61550.064000000006</v>
      </c>
      <c r="N29" s="21">
        <f t="shared" si="17"/>
        <v>184650.19200000001</v>
      </c>
      <c r="O29" s="20">
        <v>3</v>
      </c>
      <c r="P29" s="21">
        <f t="shared" si="18"/>
        <v>62781.06528000001</v>
      </c>
      <c r="Q29" s="21">
        <f t="shared" si="19"/>
        <v>188343.19584000003</v>
      </c>
      <c r="R29" s="20">
        <v>3</v>
      </c>
      <c r="S29" s="21">
        <f t="shared" si="20"/>
        <v>64036.686585600008</v>
      </c>
      <c r="T29" s="21">
        <f t="shared" si="21"/>
        <v>192110.05975680001</v>
      </c>
    </row>
    <row r="30" spans="1:20">
      <c r="C30" s="20"/>
      <c r="D30" s="21">
        <v>0</v>
      </c>
      <c r="E30" s="21">
        <f t="shared" si="11"/>
        <v>0</v>
      </c>
      <c r="F30" s="20"/>
      <c r="G30" s="21">
        <v>0</v>
      </c>
      <c r="H30" s="21">
        <f t="shared" si="13"/>
        <v>0</v>
      </c>
      <c r="I30" s="20"/>
      <c r="J30" s="21">
        <v>0</v>
      </c>
      <c r="K30" s="21">
        <f t="shared" si="15"/>
        <v>0</v>
      </c>
      <c r="L30" s="20"/>
      <c r="M30" s="21">
        <v>0</v>
      </c>
      <c r="N30" s="21">
        <f t="shared" si="17"/>
        <v>0</v>
      </c>
      <c r="O30" s="20"/>
      <c r="P30" s="21">
        <v>0</v>
      </c>
      <c r="Q30" s="21">
        <f t="shared" si="19"/>
        <v>0</v>
      </c>
      <c r="R30" s="20"/>
      <c r="S30" s="21">
        <v>0</v>
      </c>
      <c r="T30" s="21">
        <f t="shared" si="21"/>
        <v>0</v>
      </c>
    </row>
    <row r="31" spans="1:20">
      <c r="C31" s="20"/>
      <c r="D31" s="21">
        <v>0</v>
      </c>
      <c r="E31" s="21">
        <f t="shared" si="11"/>
        <v>0</v>
      </c>
      <c r="F31" s="20"/>
      <c r="G31" s="21">
        <v>0</v>
      </c>
      <c r="H31" s="21">
        <f t="shared" si="13"/>
        <v>0</v>
      </c>
      <c r="I31" s="20"/>
      <c r="J31" s="21">
        <v>0</v>
      </c>
      <c r="K31" s="21">
        <f t="shared" si="15"/>
        <v>0</v>
      </c>
      <c r="L31" s="20"/>
      <c r="M31" s="21">
        <v>0</v>
      </c>
      <c r="N31" s="21">
        <f t="shared" si="17"/>
        <v>0</v>
      </c>
      <c r="O31" s="20"/>
      <c r="P31" s="21">
        <v>0</v>
      </c>
      <c r="Q31" s="21">
        <f t="shared" si="19"/>
        <v>0</v>
      </c>
      <c r="R31" s="20"/>
      <c r="S31" s="21">
        <v>0</v>
      </c>
      <c r="T31" s="21">
        <f t="shared" si="21"/>
        <v>0</v>
      </c>
    </row>
    <row r="32" spans="1:20">
      <c r="C32" s="20"/>
      <c r="D32" s="21">
        <v>0</v>
      </c>
      <c r="E32" s="21">
        <f t="shared" si="11"/>
        <v>0</v>
      </c>
      <c r="F32" s="20"/>
      <c r="G32" s="21">
        <v>0</v>
      </c>
      <c r="H32" s="21">
        <f t="shared" si="13"/>
        <v>0</v>
      </c>
      <c r="I32" s="20"/>
      <c r="J32" s="21">
        <v>0</v>
      </c>
      <c r="K32" s="21">
        <f t="shared" si="15"/>
        <v>0</v>
      </c>
      <c r="L32" s="20"/>
      <c r="M32" s="21">
        <v>0</v>
      </c>
      <c r="N32" s="21">
        <f t="shared" si="17"/>
        <v>0</v>
      </c>
      <c r="O32" s="20"/>
      <c r="P32" s="21">
        <v>0</v>
      </c>
      <c r="Q32" s="21">
        <f t="shared" si="19"/>
        <v>0</v>
      </c>
      <c r="R32" s="20"/>
      <c r="S32" s="21">
        <v>0</v>
      </c>
      <c r="T32" s="21">
        <f t="shared" si="21"/>
        <v>0</v>
      </c>
    </row>
    <row r="33" spans="1:20">
      <c r="C33" s="20"/>
      <c r="D33" s="21">
        <v>0</v>
      </c>
      <c r="E33" s="21">
        <f t="shared" si="11"/>
        <v>0</v>
      </c>
      <c r="F33" s="20"/>
      <c r="G33" s="21">
        <v>0</v>
      </c>
      <c r="H33" s="21">
        <f t="shared" si="13"/>
        <v>0</v>
      </c>
      <c r="I33" s="20"/>
      <c r="J33" s="21">
        <v>0</v>
      </c>
      <c r="K33" s="21">
        <f t="shared" si="15"/>
        <v>0</v>
      </c>
      <c r="L33" s="20"/>
      <c r="M33" s="21">
        <v>0</v>
      </c>
      <c r="N33" s="21">
        <f t="shared" si="17"/>
        <v>0</v>
      </c>
      <c r="O33" s="20"/>
      <c r="P33" s="21">
        <v>0</v>
      </c>
      <c r="Q33" s="21">
        <f t="shared" si="19"/>
        <v>0</v>
      </c>
      <c r="R33" s="20"/>
      <c r="S33" s="21">
        <v>0</v>
      </c>
      <c r="T33" s="21">
        <f t="shared" si="21"/>
        <v>0</v>
      </c>
    </row>
    <row r="34" spans="1:20">
      <c r="C34" s="20"/>
      <c r="D34" s="21">
        <v>0</v>
      </c>
      <c r="E34" s="21">
        <f t="shared" si="11"/>
        <v>0</v>
      </c>
      <c r="F34" s="20"/>
      <c r="G34" s="21">
        <v>0</v>
      </c>
      <c r="H34" s="21">
        <f t="shared" si="13"/>
        <v>0</v>
      </c>
      <c r="I34" s="20"/>
      <c r="J34" s="21">
        <v>0</v>
      </c>
      <c r="K34" s="21">
        <f t="shared" si="15"/>
        <v>0</v>
      </c>
      <c r="L34" s="20"/>
      <c r="M34" s="21">
        <v>0</v>
      </c>
      <c r="N34" s="21">
        <f t="shared" si="17"/>
        <v>0</v>
      </c>
      <c r="O34" s="20"/>
      <c r="P34" s="21">
        <v>0</v>
      </c>
      <c r="Q34" s="21">
        <f t="shared" si="19"/>
        <v>0</v>
      </c>
      <c r="R34" s="20"/>
      <c r="S34" s="21">
        <v>0</v>
      </c>
      <c r="T34" s="21">
        <f t="shared" si="21"/>
        <v>0</v>
      </c>
    </row>
    <row r="35" spans="1:20">
      <c r="C35" s="20"/>
      <c r="D35" s="21">
        <v>0</v>
      </c>
      <c r="E35" s="21">
        <f t="shared" si="11"/>
        <v>0</v>
      </c>
      <c r="F35" s="20"/>
      <c r="G35" s="21">
        <v>0</v>
      </c>
      <c r="H35" s="21">
        <f t="shared" si="13"/>
        <v>0</v>
      </c>
      <c r="I35" s="20"/>
      <c r="J35" s="21">
        <v>0</v>
      </c>
      <c r="K35" s="21">
        <f t="shared" si="15"/>
        <v>0</v>
      </c>
      <c r="L35" s="20"/>
      <c r="M35" s="21">
        <v>0</v>
      </c>
      <c r="N35" s="21">
        <f t="shared" si="17"/>
        <v>0</v>
      </c>
      <c r="O35" s="20"/>
      <c r="P35" s="21">
        <v>0</v>
      </c>
      <c r="Q35" s="21">
        <f t="shared" si="19"/>
        <v>0</v>
      </c>
      <c r="R35" s="20"/>
      <c r="S35" s="21">
        <v>0</v>
      </c>
      <c r="T35" s="21">
        <f t="shared" si="21"/>
        <v>0</v>
      </c>
    </row>
    <row r="36" spans="1:20">
      <c r="A36" s="46"/>
      <c r="B36" s="6"/>
      <c r="C36" s="25"/>
      <c r="D36" s="26">
        <v>0</v>
      </c>
      <c r="E36" s="26">
        <f t="shared" si="11"/>
        <v>0</v>
      </c>
      <c r="F36" s="25"/>
      <c r="G36" s="26">
        <v>0</v>
      </c>
      <c r="H36" s="26">
        <f t="shared" si="13"/>
        <v>0</v>
      </c>
      <c r="I36" s="25"/>
      <c r="J36" s="26">
        <v>0</v>
      </c>
      <c r="K36" s="26">
        <f t="shared" si="15"/>
        <v>0</v>
      </c>
      <c r="L36" s="25"/>
      <c r="M36" s="26">
        <v>0</v>
      </c>
      <c r="N36" s="26">
        <f t="shared" si="17"/>
        <v>0</v>
      </c>
      <c r="O36" s="25"/>
      <c r="P36" s="26">
        <v>0</v>
      </c>
      <c r="Q36" s="26">
        <f t="shared" si="19"/>
        <v>0</v>
      </c>
      <c r="R36" s="25"/>
      <c r="S36" s="26">
        <v>0</v>
      </c>
      <c r="T36" s="26">
        <f t="shared" si="21"/>
        <v>0</v>
      </c>
    </row>
    <row r="37" spans="1:20">
      <c r="A37" s="30" t="s">
        <v>75</v>
      </c>
      <c r="C37" s="20">
        <f>SUM(C22:C36)</f>
        <v>28</v>
      </c>
      <c r="D37" s="21"/>
      <c r="E37" s="21">
        <v>2390742</v>
      </c>
      <c r="F37" s="20">
        <f>SUM(F22:F36)</f>
        <v>28</v>
      </c>
      <c r="G37" s="21"/>
      <c r="H37" s="21">
        <v>2390742</v>
      </c>
      <c r="I37" s="20">
        <f>SUM(I22:I36)</f>
        <v>28</v>
      </c>
      <c r="J37" s="21"/>
      <c r="K37" s="21">
        <v>2390742</v>
      </c>
      <c r="L37" s="20">
        <f>SUM(L22:L36)</f>
        <v>28</v>
      </c>
      <c r="M37" s="21"/>
      <c r="N37" s="21">
        <v>2390742</v>
      </c>
      <c r="O37" s="20">
        <f>SUM(O22:O36)</f>
        <v>28</v>
      </c>
      <c r="P37" s="21"/>
      <c r="Q37" s="21">
        <v>2390742</v>
      </c>
      <c r="R37" s="20">
        <f>SUM(R22:R36)</f>
        <v>28</v>
      </c>
      <c r="S37" s="21"/>
      <c r="T37" s="21">
        <v>2390742</v>
      </c>
    </row>
    <row r="38" spans="1:20">
      <c r="C38" s="20"/>
      <c r="D38" s="21"/>
      <c r="E38" s="20"/>
      <c r="F38" s="20"/>
      <c r="G38" s="21"/>
      <c r="H38" s="20"/>
      <c r="I38" s="20"/>
      <c r="J38" s="21"/>
      <c r="K38" s="20"/>
      <c r="L38" s="20"/>
      <c r="M38" s="21"/>
      <c r="N38" s="20"/>
      <c r="O38" s="20"/>
      <c r="P38" s="21"/>
      <c r="Q38" s="20"/>
      <c r="R38" s="20"/>
      <c r="S38" s="21"/>
      <c r="T38" s="20"/>
    </row>
    <row r="39" spans="1:20">
      <c r="C39" s="18"/>
      <c r="D39" s="18" t="s">
        <v>76</v>
      </c>
      <c r="E39" s="18" t="s">
        <v>56</v>
      </c>
      <c r="F39" s="18"/>
      <c r="G39" s="18" t="s">
        <v>76</v>
      </c>
      <c r="H39" s="18" t="s">
        <v>56</v>
      </c>
      <c r="I39" s="18"/>
      <c r="J39" s="18" t="s">
        <v>76</v>
      </c>
      <c r="K39" s="18" t="s">
        <v>56</v>
      </c>
      <c r="L39" s="18"/>
      <c r="M39" s="18" t="s">
        <v>76</v>
      </c>
      <c r="N39" s="18" t="s">
        <v>56</v>
      </c>
      <c r="O39" s="18"/>
      <c r="P39" s="18" t="s">
        <v>76</v>
      </c>
      <c r="Q39" s="18" t="s">
        <v>56</v>
      </c>
      <c r="R39" s="18"/>
      <c r="S39" s="18" t="s">
        <v>76</v>
      </c>
      <c r="T39" s="18" t="s">
        <v>56</v>
      </c>
    </row>
    <row r="40" spans="1:20">
      <c r="A40" s="30" t="s">
        <v>77</v>
      </c>
    </row>
    <row r="41" spans="1:20">
      <c r="A41" s="30" t="s">
        <v>78</v>
      </c>
      <c r="D41" s="21">
        <v>0</v>
      </c>
      <c r="E41" s="21">
        <v>1000000</v>
      </c>
      <c r="G41" s="21">
        <v>0</v>
      </c>
      <c r="H41" s="21">
        <v>1000000</v>
      </c>
      <c r="J41" s="21">
        <v>0</v>
      </c>
      <c r="K41" s="21">
        <v>1000000</v>
      </c>
      <c r="M41" s="21">
        <v>0</v>
      </c>
      <c r="N41" s="21">
        <v>1000000</v>
      </c>
      <c r="P41" s="21">
        <v>0</v>
      </c>
      <c r="Q41" s="21">
        <v>1000000</v>
      </c>
      <c r="S41" s="21">
        <v>0</v>
      </c>
      <c r="T41" s="21">
        <v>1000000</v>
      </c>
    </row>
    <row r="42" spans="1:20">
      <c r="A42" s="30" t="s">
        <v>79</v>
      </c>
      <c r="D42" s="21">
        <v>0</v>
      </c>
      <c r="E42" s="21">
        <f>0.03*(E37+E19)</f>
        <v>352983.24</v>
      </c>
      <c r="G42" s="21">
        <v>0</v>
      </c>
      <c r="H42" s="21">
        <f>0.03*(H37+H19)</f>
        <v>371682.58499999996</v>
      </c>
      <c r="J42" s="21">
        <v>0</v>
      </c>
      <c r="K42" s="21">
        <f>0.03*(K37+K19)</f>
        <v>377681.79149999999</v>
      </c>
      <c r="M42" s="21">
        <v>0</v>
      </c>
      <c r="N42" s="21">
        <f>0.03*(N37+N19)</f>
        <v>395747.81771616003</v>
      </c>
      <c r="P42" s="21">
        <v>0</v>
      </c>
      <c r="Q42" s="21">
        <f>0.03*(Q37+Q19)</f>
        <v>402228.32887048321</v>
      </c>
      <c r="S42" s="21">
        <v>0</v>
      </c>
      <c r="T42" s="21">
        <f>0.03*(T37+T19)</f>
        <v>408838.45024789288</v>
      </c>
    </row>
    <row r="43" spans="1:20">
      <c r="A43" s="30" t="s">
        <v>80</v>
      </c>
      <c r="D43" s="22">
        <v>6.2E-2</v>
      </c>
      <c r="E43" s="21">
        <f>D43*(E37+E19)</f>
        <v>729498.696</v>
      </c>
      <c r="G43" s="22">
        <v>6.2E-2</v>
      </c>
      <c r="H43" s="21">
        <f>G43*(H37+H19)</f>
        <v>768144.00899999996</v>
      </c>
      <c r="J43" s="22">
        <v>6.2E-2</v>
      </c>
      <c r="K43" s="21">
        <f>J43*(K37+K19)</f>
        <v>780542.36910000001</v>
      </c>
      <c r="M43" s="22">
        <v>6.2E-2</v>
      </c>
      <c r="N43" s="21">
        <f>M43*(N37+N19)</f>
        <v>817878.82328006404</v>
      </c>
      <c r="P43" s="22">
        <v>6.2E-2</v>
      </c>
      <c r="Q43" s="21">
        <f>P43*(Q37+Q19)</f>
        <v>831271.87966566533</v>
      </c>
      <c r="S43" s="22">
        <v>6.2E-2</v>
      </c>
      <c r="T43" s="21">
        <f>S43*(T37+T19)</f>
        <v>844932.79717897868</v>
      </c>
    </row>
    <row r="44" spans="1:20">
      <c r="A44" s="30" t="s">
        <v>81</v>
      </c>
      <c r="D44" s="23">
        <v>1.4500000000000001E-2</v>
      </c>
      <c r="E44" s="21">
        <f>D44*(E37+E19)</f>
        <v>170608.56600000002</v>
      </c>
      <c r="G44" s="23">
        <v>1.4500000000000001E-2</v>
      </c>
      <c r="H44" s="21">
        <f>G44*(H37+H19)</f>
        <v>179646.58275</v>
      </c>
      <c r="J44" s="23">
        <v>1.4500000000000001E-2</v>
      </c>
      <c r="K44" s="21">
        <f>J44*(K37+K19)</f>
        <v>182546.19922500002</v>
      </c>
      <c r="M44" s="23">
        <v>1.4500000000000001E-2</v>
      </c>
      <c r="N44" s="21">
        <f>M44*(N37+N19)</f>
        <v>191278.11189614402</v>
      </c>
      <c r="P44" s="23">
        <v>1.4500000000000001E-2</v>
      </c>
      <c r="Q44" s="21">
        <f>P44*(Q37+Q19)</f>
        <v>194410.35895406691</v>
      </c>
      <c r="S44" s="23">
        <v>1.4500000000000001E-2</v>
      </c>
      <c r="T44" s="21">
        <f>S44*(T37+T19)</f>
        <v>197605.25095314824</v>
      </c>
    </row>
    <row r="45" spans="1:20">
      <c r="A45" s="30" t="s">
        <v>82</v>
      </c>
      <c r="D45" s="22">
        <v>2.5000000000000001E-2</v>
      </c>
      <c r="E45" s="21">
        <f>D45*(E37+E19)</f>
        <v>294152.7</v>
      </c>
      <c r="G45" s="22">
        <v>2.5000000000000001E-2</v>
      </c>
      <c r="H45" s="21">
        <f>G45*(H37+H19)</f>
        <v>309735.48749999999</v>
      </c>
      <c r="J45" s="22">
        <v>2.5000000000000001E-2</v>
      </c>
      <c r="K45" s="21">
        <f>J45*(K37+K19)</f>
        <v>314734.82625000004</v>
      </c>
      <c r="M45" s="22">
        <v>2.5000000000000001E-2</v>
      </c>
      <c r="N45" s="21">
        <f>M45*(N37+N19)</f>
        <v>329789.84809680004</v>
      </c>
      <c r="P45" s="22">
        <v>2.5000000000000001E-2</v>
      </c>
      <c r="Q45" s="21">
        <f>P45*(Q37+Q19)</f>
        <v>335190.27405873605</v>
      </c>
      <c r="S45" s="22">
        <v>2.5000000000000001E-2</v>
      </c>
      <c r="T45" s="21">
        <f>S45*(T37+T19)</f>
        <v>340698.70853991079</v>
      </c>
    </row>
    <row r="46" spans="1:20">
      <c r="D46" s="22"/>
      <c r="E46" s="21"/>
      <c r="G46" s="22"/>
      <c r="H46" s="21"/>
      <c r="J46" s="22"/>
      <c r="K46" s="21"/>
      <c r="M46" s="22"/>
      <c r="N46" s="21"/>
      <c r="P46" s="22"/>
      <c r="Q46" s="21"/>
      <c r="S46" s="22"/>
      <c r="T46" s="21"/>
    </row>
    <row r="47" spans="1:20">
      <c r="A47" s="30" t="s">
        <v>83</v>
      </c>
      <c r="D47" s="21"/>
      <c r="E47" s="21">
        <v>0</v>
      </c>
      <c r="G47" s="21"/>
      <c r="H47" s="21">
        <v>0</v>
      </c>
      <c r="J47" s="21"/>
      <c r="K47" s="21">
        <v>0</v>
      </c>
      <c r="M47" s="21"/>
      <c r="N47" s="21">
        <v>0</v>
      </c>
      <c r="P47" s="21"/>
      <c r="Q47" s="21">
        <v>0</v>
      </c>
      <c r="S47" s="21"/>
      <c r="T47" s="21">
        <v>0</v>
      </c>
    </row>
    <row r="48" spans="1:20">
      <c r="C48" s="20"/>
      <c r="D48" s="20"/>
      <c r="E48" s="21"/>
      <c r="F48" s="20"/>
      <c r="G48" s="20"/>
      <c r="H48" s="21"/>
      <c r="I48" s="20"/>
      <c r="J48" s="20"/>
      <c r="K48" s="21"/>
      <c r="L48" s="20"/>
      <c r="M48" s="20"/>
      <c r="N48" s="21"/>
      <c r="O48" s="20"/>
      <c r="P48" s="20"/>
      <c r="Q48" s="21"/>
      <c r="R48" s="20"/>
      <c r="S48" s="20"/>
      <c r="T48" s="21"/>
    </row>
    <row r="49" spans="1:20">
      <c r="C49" s="20"/>
      <c r="D49" s="20"/>
      <c r="E49" s="21"/>
      <c r="F49" s="20"/>
      <c r="G49" s="20"/>
      <c r="H49" s="21"/>
      <c r="I49" s="20"/>
      <c r="J49" s="20"/>
      <c r="K49" s="21"/>
      <c r="L49" s="20"/>
      <c r="M49" s="20"/>
      <c r="N49" s="21"/>
      <c r="O49" s="20"/>
      <c r="P49" s="20"/>
      <c r="Q49" s="21"/>
      <c r="R49" s="20"/>
      <c r="S49" s="20"/>
      <c r="T49" s="21"/>
    </row>
    <row r="50" spans="1:20">
      <c r="C50" s="20"/>
      <c r="D50" s="20"/>
      <c r="E50" s="21"/>
      <c r="F50" s="20"/>
      <c r="G50" s="20"/>
      <c r="H50" s="21"/>
      <c r="I50" s="20"/>
      <c r="J50" s="20"/>
      <c r="K50" s="21"/>
      <c r="L50" s="20"/>
      <c r="M50" s="20"/>
      <c r="N50" s="21"/>
      <c r="O50" s="20"/>
      <c r="P50" s="20"/>
      <c r="Q50" s="21"/>
      <c r="R50" s="20"/>
      <c r="S50" s="20"/>
      <c r="T50" s="21"/>
    </row>
    <row r="51" spans="1:20" s="30" customFormat="1">
      <c r="A51" s="46" t="s">
        <v>84</v>
      </c>
      <c r="B51" s="46"/>
      <c r="C51" s="46" t="s">
        <v>5</v>
      </c>
      <c r="D51" s="46"/>
      <c r="E51" s="46"/>
      <c r="F51" s="46" t="s">
        <v>6</v>
      </c>
      <c r="G51" s="46"/>
      <c r="H51" s="46"/>
      <c r="I51" s="46" t="s">
        <v>7</v>
      </c>
      <c r="J51" s="46"/>
      <c r="K51" s="46"/>
      <c r="L51" s="46" t="s">
        <v>8</v>
      </c>
      <c r="M51" s="46"/>
      <c r="N51" s="46"/>
      <c r="O51" s="46" t="s">
        <v>9</v>
      </c>
      <c r="P51" s="46"/>
      <c r="Q51" s="46"/>
      <c r="R51" s="46" t="s">
        <v>10</v>
      </c>
      <c r="S51" s="46"/>
      <c r="T51" s="46"/>
    </row>
    <row r="52" spans="1:20">
      <c r="B52" s="24"/>
      <c r="C52" t="s">
        <v>85</v>
      </c>
      <c r="D52" s="24"/>
      <c r="E52" s="20">
        <f>SUM(C37,C19)</f>
        <v>196</v>
      </c>
      <c r="F52" t="s">
        <v>85</v>
      </c>
      <c r="G52" s="24"/>
      <c r="H52" s="20">
        <f>SUM(F37,F19)</f>
        <v>204</v>
      </c>
      <c r="I52" t="s">
        <v>85</v>
      </c>
      <c r="J52" s="24"/>
      <c r="K52" s="20">
        <f>SUM(I37,I19)</f>
        <v>204</v>
      </c>
      <c r="L52" t="s">
        <v>85</v>
      </c>
      <c r="M52" s="24"/>
      <c r="N52" s="20">
        <f>SUM(L37,L19)</f>
        <v>211</v>
      </c>
      <c r="O52" t="s">
        <v>85</v>
      </c>
      <c r="P52" s="24"/>
      <c r="Q52" s="20">
        <f>SUM(O37,O19)</f>
        <v>211</v>
      </c>
      <c r="R52" t="s">
        <v>85</v>
      </c>
      <c r="S52" s="24"/>
      <c r="T52" s="20">
        <f>SUM(R37,R19)</f>
        <v>211</v>
      </c>
    </row>
    <row r="53" spans="1:20">
      <c r="C53" t="s">
        <v>86</v>
      </c>
      <c r="D53" s="3"/>
      <c r="E53" s="21">
        <f>SUM(E37,E19)</f>
        <v>11766108</v>
      </c>
      <c r="F53" t="s">
        <v>86</v>
      </c>
      <c r="G53" s="3"/>
      <c r="H53" s="21">
        <f>SUM(H37,H19)</f>
        <v>12389419.5</v>
      </c>
      <c r="I53" t="s">
        <v>86</v>
      </c>
      <c r="J53" s="3"/>
      <c r="K53" s="21">
        <f>SUM(K37,K19)</f>
        <v>12589393.050000001</v>
      </c>
      <c r="L53" t="s">
        <v>86</v>
      </c>
      <c r="M53" s="3"/>
      <c r="N53" s="21">
        <f>SUM(N37,N19)</f>
        <v>13191593.923872001</v>
      </c>
      <c r="O53" t="s">
        <v>86</v>
      </c>
      <c r="P53" s="3"/>
      <c r="Q53" s="21">
        <f>SUM(Q37,Q19)</f>
        <v>13407610.962349441</v>
      </c>
      <c r="R53" t="s">
        <v>86</v>
      </c>
      <c r="S53" s="3"/>
      <c r="T53" s="21">
        <f>SUM(T37,T19)</f>
        <v>13627948.34159643</v>
      </c>
    </row>
    <row r="54" spans="1:20">
      <c r="C54" t="s">
        <v>87</v>
      </c>
      <c r="E54" s="21">
        <f>SUM(E41:E47)</f>
        <v>2547243.202</v>
      </c>
      <c r="F54" t="s">
        <v>87</v>
      </c>
      <c r="H54" s="21">
        <f>SUM(H41:H47)</f>
        <v>2629208.6642499999</v>
      </c>
      <c r="I54" t="s">
        <v>87</v>
      </c>
      <c r="K54" s="21">
        <f>SUM(K41:K47)</f>
        <v>2655505.1860750001</v>
      </c>
      <c r="L54" t="s">
        <v>87</v>
      </c>
      <c r="N54" s="21">
        <f>SUM(N41:N47)</f>
        <v>2734694.6009891685</v>
      </c>
      <c r="O54" t="s">
        <v>87</v>
      </c>
      <c r="Q54" s="21">
        <f>SUM(Q41:Q47)</f>
        <v>2763100.8415489513</v>
      </c>
      <c r="R54" t="s">
        <v>87</v>
      </c>
      <c r="T54" s="21">
        <f>SUM(T41:T47)</f>
        <v>2792075.2069199304</v>
      </c>
    </row>
    <row r="55" spans="1:20">
      <c r="C55" t="s">
        <v>88</v>
      </c>
      <c r="E55" s="21">
        <f>SUM(E53:E54)</f>
        <v>14313351.202</v>
      </c>
      <c r="F55" t="s">
        <v>88</v>
      </c>
      <c r="H55" s="21">
        <f>SUM(H53:H54)</f>
        <v>15018628.164249999</v>
      </c>
      <c r="I55" t="s">
        <v>88</v>
      </c>
      <c r="K55" s="21">
        <f>SUM(K53:K54)</f>
        <v>15244898.236075001</v>
      </c>
      <c r="L55" t="s">
        <v>88</v>
      </c>
      <c r="N55" s="21">
        <f>SUM(N53:N54)</f>
        <v>15926288.52486117</v>
      </c>
      <c r="O55" t="s">
        <v>88</v>
      </c>
      <c r="Q55" s="21">
        <f>SUM(Q53:Q54)</f>
        <v>16170711.803898392</v>
      </c>
      <c r="R55" t="s">
        <v>88</v>
      </c>
      <c r="T55" s="21">
        <f>SUM(T53:T54)</f>
        <v>16420023.548516361</v>
      </c>
    </row>
    <row r="56" spans="1:20">
      <c r="C56" t="s">
        <v>89</v>
      </c>
      <c r="D56" s="20"/>
      <c r="E56" s="20">
        <f>SUM(E59/C19)</f>
        <v>10.755952380952381</v>
      </c>
      <c r="F56" t="s">
        <v>89</v>
      </c>
      <c r="G56" s="20"/>
      <c r="H56" s="20">
        <f>SUM(H59/F19)</f>
        <v>10.472386363636364</v>
      </c>
      <c r="I56" t="s">
        <v>89</v>
      </c>
      <c r="J56" s="20"/>
      <c r="K56" s="20">
        <f>SUM(K59/I19)</f>
        <v>10.681834090909092</v>
      </c>
      <c r="L56" t="s">
        <v>89</v>
      </c>
      <c r="M56" s="20"/>
      <c r="N56" s="20">
        <f>SUM(N59/L19)</f>
        <v>10.478704131147541</v>
      </c>
      <c r="O56" t="s">
        <v>89</v>
      </c>
      <c r="P56" s="20"/>
      <c r="Q56" s="20">
        <f>SUM(Q59/O19)</f>
        <v>10.480874316939891</v>
      </c>
      <c r="R56" t="s">
        <v>89</v>
      </c>
      <c r="S56" s="20"/>
      <c r="T56" s="20">
        <f>SUM(T59/R19)</f>
        <v>10.480874316939891</v>
      </c>
    </row>
    <row r="57" spans="1:20">
      <c r="C57" t="s">
        <v>90</v>
      </c>
      <c r="D57" s="20"/>
      <c r="E57" s="20">
        <f>SUM(E59)/(C37+C19)</f>
        <v>9.2193877551020407</v>
      </c>
      <c r="F57" t="s">
        <v>90</v>
      </c>
      <c r="G57" s="20"/>
      <c r="H57" s="20">
        <f>SUM(H59)/(F37+F19)</f>
        <v>9.0350000000000001</v>
      </c>
      <c r="I57" t="s">
        <v>90</v>
      </c>
      <c r="J57" s="20"/>
      <c r="K57" s="20">
        <f>SUM(K59)/(I37+I19)</f>
        <v>9.2157000000000018</v>
      </c>
      <c r="L57" t="s">
        <v>90</v>
      </c>
      <c r="M57" s="20"/>
      <c r="N57" s="20">
        <f>SUM(N59)/(L37+L19)</f>
        <v>9.088165194312797</v>
      </c>
      <c r="O57" t="s">
        <v>90</v>
      </c>
      <c r="P57" s="20"/>
      <c r="Q57" s="20">
        <f>SUM(Q59)/(O37+O19)</f>
        <v>9.0900473933649284</v>
      </c>
      <c r="R57" t="s">
        <v>90</v>
      </c>
      <c r="S57" s="20"/>
      <c r="T57" s="20">
        <f>SUM(T59)/(R37+R19)</f>
        <v>9.0900473933649284</v>
      </c>
    </row>
    <row r="59" spans="1:20" s="30" customFormat="1">
      <c r="A59" s="30" t="s">
        <v>17</v>
      </c>
      <c r="E59" s="30">
        <f>SUM('5 YEAR MODEL'!B8)</f>
        <v>1807</v>
      </c>
      <c r="H59" s="52">
        <f>SUM('5 YEAR MODEL'!C8)</f>
        <v>1843.14</v>
      </c>
      <c r="K59" s="52">
        <f>SUM('5 YEAR MODEL'!D8)</f>
        <v>1880.0028000000002</v>
      </c>
      <c r="N59" s="52">
        <f>SUM('5 YEAR MODEL'!E8)</f>
        <v>1917.6028560000002</v>
      </c>
      <c r="Q59" s="52">
        <f>SUM('5 YEAR MODEL'!F8)</f>
        <v>1918</v>
      </c>
      <c r="T59" s="30">
        <f>SUM('5 YEAR MODEL'!G8)</f>
        <v>1918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E3F2-3D4A-4F03-9625-8EA715454156}">
  <dimension ref="A1:O97"/>
  <sheetViews>
    <sheetView workbookViewId="0">
      <selection activeCell="F18" sqref="F18"/>
    </sheetView>
  </sheetViews>
  <sheetFormatPr defaultRowHeight="15"/>
  <cols>
    <col min="1" max="1" width="27" style="30" bestFit="1" customWidth="1"/>
    <col min="2" max="10" width="17.42578125" customWidth="1"/>
  </cols>
  <sheetData>
    <row r="1" spans="1:9" ht="21">
      <c r="A1" s="17" t="s">
        <v>0</v>
      </c>
      <c r="B1" s="87" t="s">
        <v>1</v>
      </c>
      <c r="C1" s="87"/>
      <c r="D1" s="87"/>
      <c r="E1" s="87"/>
      <c r="F1" s="87"/>
      <c r="G1" s="87"/>
    </row>
    <row r="2" spans="1:9" ht="21">
      <c r="A2" s="17" t="s">
        <v>53</v>
      </c>
      <c r="B2" s="87" t="s">
        <v>91</v>
      </c>
      <c r="C2" s="87"/>
      <c r="D2" s="87"/>
      <c r="E2" s="87"/>
      <c r="F2" s="87"/>
      <c r="G2" s="87"/>
    </row>
    <row r="3" spans="1:9">
      <c r="A3" s="30" t="s">
        <v>4</v>
      </c>
      <c r="B3" s="1">
        <v>45733</v>
      </c>
    </row>
    <row r="4" spans="1:9">
      <c r="B4" s="39" t="s">
        <v>92</v>
      </c>
      <c r="C4" s="39" t="s">
        <v>92</v>
      </c>
      <c r="D4" s="39" t="s">
        <v>93</v>
      </c>
      <c r="E4" s="39" t="s">
        <v>93</v>
      </c>
      <c r="F4" s="39" t="s">
        <v>94</v>
      </c>
      <c r="G4" s="39" t="s">
        <v>95</v>
      </c>
      <c r="H4" s="39" t="s">
        <v>96</v>
      </c>
    </row>
    <row r="5" spans="1:9" s="30" customFormat="1">
      <c r="B5" s="56" t="s">
        <v>97</v>
      </c>
      <c r="C5" s="56" t="s">
        <v>98</v>
      </c>
      <c r="D5" s="56" t="s">
        <v>99</v>
      </c>
      <c r="E5" s="56" t="s">
        <v>100</v>
      </c>
      <c r="F5" s="56" t="s">
        <v>101</v>
      </c>
      <c r="G5" s="56" t="s">
        <v>102</v>
      </c>
      <c r="H5" s="56" t="s">
        <v>103</v>
      </c>
      <c r="I5" s="56" t="s">
        <v>104</v>
      </c>
    </row>
    <row r="6" spans="1:9" s="30" customFormat="1">
      <c r="A6" s="30" t="s">
        <v>105</v>
      </c>
      <c r="B6" s="52">
        <v>517</v>
      </c>
      <c r="C6" s="52">
        <v>433</v>
      </c>
      <c r="D6" s="52">
        <v>609</v>
      </c>
      <c r="E6" s="52">
        <v>128</v>
      </c>
      <c r="F6" s="52">
        <v>120</v>
      </c>
      <c r="G6" s="54"/>
      <c r="H6" s="54"/>
      <c r="I6" s="54">
        <v>1807</v>
      </c>
    </row>
    <row r="7" spans="1:9" s="30" customFormat="1">
      <c r="A7" s="30" t="s">
        <v>106</v>
      </c>
      <c r="B7" s="55">
        <v>7.4844074844074848E-2</v>
      </c>
      <c r="C7" s="55">
        <v>4.5893719806763267E-2</v>
      </c>
      <c r="D7" s="55">
        <v>-1.6393442622950616E-3</v>
      </c>
      <c r="E7" s="55">
        <v>0.13274336283185839</v>
      </c>
      <c r="F7" s="55">
        <v>0.96721311475409832</v>
      </c>
      <c r="G7" s="54"/>
      <c r="H7" s="54"/>
      <c r="I7" s="55">
        <v>7.6235854675402059E-2</v>
      </c>
    </row>
    <row r="8" spans="1:9" s="30" customFormat="1">
      <c r="A8" s="30" t="s">
        <v>107</v>
      </c>
      <c r="B8" s="54">
        <v>-71</v>
      </c>
      <c r="C8" s="54">
        <v>-39</v>
      </c>
      <c r="D8" s="55"/>
      <c r="E8" s="55"/>
      <c r="F8" s="55"/>
      <c r="G8" s="54">
        <v>110</v>
      </c>
      <c r="H8" s="54"/>
      <c r="I8" s="55"/>
    </row>
    <row r="9" spans="1:9" s="30" customFormat="1">
      <c r="B9" s="55"/>
      <c r="C9" s="55"/>
      <c r="D9" s="55"/>
      <c r="E9" s="55"/>
      <c r="F9" s="55"/>
      <c r="G9" s="54"/>
      <c r="H9" s="54"/>
      <c r="I9" s="55"/>
    </row>
    <row r="10" spans="1:9" s="30" customFormat="1">
      <c r="A10" s="30" t="s">
        <v>108</v>
      </c>
      <c r="B10" s="54">
        <v>46.834544825199025</v>
      </c>
      <c r="C10" s="54">
        <v>47.592246452059541</v>
      </c>
      <c r="D10" s="54">
        <v>71.681550709588095</v>
      </c>
      <c r="E10" s="54">
        <v>12.812507211261106</v>
      </c>
      <c r="F10" s="54">
        <v>18</v>
      </c>
      <c r="G10" s="54"/>
      <c r="H10" s="54">
        <v>32.066228221991459</v>
      </c>
      <c r="I10" s="54">
        <v>228.98707742009921</v>
      </c>
    </row>
    <row r="11" spans="1:9">
      <c r="B11" s="2"/>
      <c r="C11" s="2"/>
      <c r="D11" s="2"/>
      <c r="E11" s="2"/>
      <c r="F11" s="2"/>
      <c r="G11" s="2"/>
      <c r="H11" s="2"/>
      <c r="I11" s="2"/>
    </row>
    <row r="12" spans="1:9">
      <c r="A12" s="30" t="s">
        <v>18</v>
      </c>
      <c r="B12" s="27"/>
      <c r="C12" s="27"/>
      <c r="D12" s="27"/>
      <c r="E12" s="27"/>
      <c r="F12" s="27"/>
      <c r="G12" s="27"/>
    </row>
    <row r="13" spans="1:9">
      <c r="A13" s="30" t="s">
        <v>19</v>
      </c>
      <c r="B13" s="27"/>
      <c r="C13" s="27"/>
      <c r="D13" s="27"/>
      <c r="E13" s="27"/>
      <c r="F13" s="27"/>
      <c r="G13" s="27"/>
    </row>
    <row r="14" spans="1:9" s="86" customFormat="1">
      <c r="A14" s="84" t="s">
        <v>20</v>
      </c>
      <c r="B14" s="85">
        <v>4254400.2625056123</v>
      </c>
      <c r="C14" s="85">
        <v>3553644.6027974901</v>
      </c>
      <c r="D14" s="85">
        <v>5655560.6632892573</v>
      </c>
      <c r="E14" s="85">
        <v>1144499.8367999999</v>
      </c>
      <c r="F14" s="85">
        <v>935202.64</v>
      </c>
      <c r="G14" s="85">
        <v>874672.69177649496</v>
      </c>
      <c r="H14" s="85"/>
      <c r="I14" s="85">
        <f>SUM(B14:H14)</f>
        <v>16417980.697168855</v>
      </c>
    </row>
    <row r="15" spans="1:9">
      <c r="A15" s="30" t="s">
        <v>21</v>
      </c>
      <c r="B15" s="2">
        <v>329541.01714285708</v>
      </c>
      <c r="C15" s="2">
        <v>298498.99577142857</v>
      </c>
      <c r="D15" s="2">
        <v>545168.69074285706</v>
      </c>
      <c r="E15" s="2">
        <v>137007.23348571427</v>
      </c>
      <c r="F15" s="2">
        <v>93754.850399999996</v>
      </c>
      <c r="G15" s="2"/>
      <c r="I15" s="2">
        <f t="shared" ref="I15:I20" si="0">SUM(B15:H15)</f>
        <v>1403970.7875428572</v>
      </c>
    </row>
    <row r="16" spans="1:9">
      <c r="A16" s="30" t="s">
        <v>22</v>
      </c>
      <c r="B16" s="2">
        <v>624302</v>
      </c>
      <c r="C16" s="2">
        <v>548002</v>
      </c>
      <c r="D16" s="2">
        <v>907200</v>
      </c>
      <c r="E16" s="2">
        <v>191800</v>
      </c>
      <c r="F16" s="2">
        <v>144200</v>
      </c>
      <c r="G16" s="2">
        <v>154000</v>
      </c>
      <c r="I16" s="2">
        <f t="shared" si="0"/>
        <v>2569504</v>
      </c>
    </row>
    <row r="17" spans="1:15">
      <c r="A17" s="30" t="s">
        <v>23</v>
      </c>
      <c r="B17" s="2">
        <v>234713.97771428575</v>
      </c>
      <c r="C17" s="2">
        <v>294229.9110857143</v>
      </c>
      <c r="D17" s="2">
        <v>367166.65474285709</v>
      </c>
      <c r="E17" s="2">
        <v>30466.444114285714</v>
      </c>
      <c r="F17" s="2">
        <v>0</v>
      </c>
      <c r="G17" s="2"/>
      <c r="I17" s="2">
        <f t="shared" si="0"/>
        <v>926576.98765714292</v>
      </c>
    </row>
    <row r="18" spans="1:15">
      <c r="A18" s="30" t="s">
        <v>24</v>
      </c>
      <c r="B18" s="2">
        <v>254425.38569343067</v>
      </c>
      <c r="C18" s="2">
        <v>183980.70188524592</v>
      </c>
      <c r="D18" s="2">
        <v>281785.83891206898</v>
      </c>
      <c r="E18" s="2">
        <v>55633.510132673269</v>
      </c>
      <c r="F18" s="2">
        <v>56248.241500000004</v>
      </c>
      <c r="G18" s="2"/>
      <c r="I18" s="2">
        <f t="shared" si="0"/>
        <v>832073.67812341882</v>
      </c>
    </row>
    <row r="19" spans="1:15">
      <c r="A19" s="30" t="s">
        <v>25</v>
      </c>
      <c r="B19" s="2">
        <v>59664.859199999999</v>
      </c>
      <c r="C19" s="2">
        <v>104183.9249142857</v>
      </c>
      <c r="D19" s="2">
        <v>160935.41931428568</v>
      </c>
      <c r="E19" s="2">
        <v>3635.4198857142856</v>
      </c>
      <c r="F19" s="2">
        <v>3110.8134857142854</v>
      </c>
      <c r="G19" s="2"/>
      <c r="I19" s="2">
        <f t="shared" si="0"/>
        <v>331530.43679999991</v>
      </c>
      <c r="L19" s="2"/>
    </row>
    <row r="20" spans="1:15">
      <c r="A20" s="46" t="s">
        <v>26</v>
      </c>
      <c r="B20" s="7">
        <v>569410.19725714275</v>
      </c>
      <c r="C20" s="7">
        <v>116749.58322857141</v>
      </c>
      <c r="D20" s="7">
        <v>357147.57360000006</v>
      </c>
      <c r="E20" s="7">
        <v>106978.84731428573</v>
      </c>
      <c r="F20" s="7">
        <v>150013.73725714287</v>
      </c>
      <c r="G20" s="7"/>
      <c r="H20" s="6"/>
      <c r="I20" s="7">
        <f t="shared" si="0"/>
        <v>1300299.9386571429</v>
      </c>
    </row>
    <row r="21" spans="1:15" s="30" customFormat="1">
      <c r="A21" s="30" t="s">
        <v>27</v>
      </c>
      <c r="B21" s="54">
        <f>SUM(B14:B20)</f>
        <v>6326457.6995133292</v>
      </c>
      <c r="C21" s="54">
        <f t="shared" ref="C21:G21" si="1">SUM(C14:C20)</f>
        <v>5099289.7196827354</v>
      </c>
      <c r="D21" s="54">
        <f t="shared" si="1"/>
        <v>8274964.840601326</v>
      </c>
      <c r="E21" s="54">
        <f t="shared" si="1"/>
        <v>1670021.2917326733</v>
      </c>
      <c r="F21" s="54">
        <f t="shared" si="1"/>
        <v>1382530.2826428572</v>
      </c>
      <c r="G21" s="54">
        <f t="shared" si="1"/>
        <v>1028672.691776495</v>
      </c>
      <c r="H21" s="54">
        <v>0</v>
      </c>
      <c r="I21" s="54">
        <f>SUM(I14:I20)</f>
        <v>23781936.525949419</v>
      </c>
    </row>
    <row r="22" spans="1:15">
      <c r="B22" s="2"/>
      <c r="C22" s="2"/>
      <c r="D22" s="2"/>
      <c r="E22" s="2"/>
      <c r="F22" s="2"/>
      <c r="G22" s="2"/>
    </row>
    <row r="23" spans="1:15">
      <c r="A23" s="30" t="s">
        <v>28</v>
      </c>
      <c r="B23" s="2"/>
      <c r="C23" s="2"/>
      <c r="D23" s="2"/>
      <c r="E23" s="2"/>
      <c r="F23" s="2"/>
      <c r="G23" s="2"/>
    </row>
    <row r="24" spans="1:15">
      <c r="A24" s="30" t="s">
        <v>29</v>
      </c>
      <c r="B24" s="2">
        <v>2418957</v>
      </c>
      <c r="C24" s="2">
        <v>1958865</v>
      </c>
      <c r="D24" s="2">
        <v>3897415</v>
      </c>
      <c r="E24" s="2">
        <v>781536</v>
      </c>
      <c r="F24" s="2">
        <v>765843</v>
      </c>
      <c r="G24" s="2">
        <v>332668.86</v>
      </c>
      <c r="H24" s="2">
        <v>2561882.6221714295</v>
      </c>
      <c r="I24" s="2">
        <f>SUM(B24:H24)</f>
        <v>12717167.482171429</v>
      </c>
    </row>
    <row r="25" spans="1:15">
      <c r="A25" s="30" t="s">
        <v>30</v>
      </c>
      <c r="B25" s="2">
        <v>197165.54828571426</v>
      </c>
      <c r="C25" s="2">
        <v>221362.05239999996</v>
      </c>
      <c r="D25" s="2">
        <v>237073.0453714286</v>
      </c>
      <c r="E25" s="2">
        <v>74999.113714285719</v>
      </c>
      <c r="F25" s="2">
        <v>104769.94114285715</v>
      </c>
      <c r="G25" s="2">
        <v>7031.7757009345796</v>
      </c>
      <c r="H25" s="2">
        <v>466952.39794285723</v>
      </c>
      <c r="I25" s="2">
        <f t="shared" ref="I25:I33" si="2">SUM(B25:H25)</f>
        <v>1309353.8745580777</v>
      </c>
    </row>
    <row r="26" spans="1:15">
      <c r="A26" s="30" t="s">
        <v>31</v>
      </c>
      <c r="B26" s="2">
        <v>382568</v>
      </c>
      <c r="C26" s="2">
        <v>638974</v>
      </c>
      <c r="D26" s="2">
        <v>407853</v>
      </c>
      <c r="E26" s="2">
        <v>102944.62491428568</v>
      </c>
      <c r="F26" s="2">
        <v>289645</v>
      </c>
      <c r="G26" s="2"/>
      <c r="H26" s="2">
        <v>297479.91085714271</v>
      </c>
      <c r="I26" s="2">
        <f t="shared" si="2"/>
        <v>2119464.5357714286</v>
      </c>
    </row>
    <row r="27" spans="1:15">
      <c r="A27" s="30" t="s">
        <v>32</v>
      </c>
      <c r="B27" s="2">
        <v>379281.28217142855</v>
      </c>
      <c r="C27" s="2">
        <v>329131.23942857143</v>
      </c>
      <c r="D27" s="2">
        <v>523301.63348571432</v>
      </c>
      <c r="E27" s="2">
        <v>119192.24571428572</v>
      </c>
      <c r="F27" s="2">
        <v>115909.77497142859</v>
      </c>
      <c r="G27" s="2"/>
      <c r="H27" s="2">
        <v>21388.875428571435</v>
      </c>
      <c r="I27" s="2">
        <f t="shared" si="2"/>
        <v>1488205.0511999999</v>
      </c>
    </row>
    <row r="28" spans="1:15">
      <c r="A28" s="30" t="s">
        <v>33</v>
      </c>
      <c r="B28" s="2">
        <v>234847.32377142861</v>
      </c>
      <c r="C28" s="2">
        <v>80101.130400000009</v>
      </c>
      <c r="D28" s="2">
        <v>85712.383542857133</v>
      </c>
      <c r="E28" s="2">
        <v>23392.720799999999</v>
      </c>
      <c r="F28" s="2">
        <v>52789.791085714292</v>
      </c>
      <c r="G28" s="2"/>
      <c r="H28" s="2">
        <v>89819.865257142839</v>
      </c>
      <c r="I28" s="2">
        <f t="shared" si="2"/>
        <v>566663.21485714288</v>
      </c>
      <c r="M28" s="5"/>
      <c r="O28" s="5"/>
    </row>
    <row r="29" spans="1:15">
      <c r="A29" s="30" t="s">
        <v>34</v>
      </c>
      <c r="B29" s="2">
        <v>76404.702857142853</v>
      </c>
      <c r="C29" s="2">
        <v>60444.372342857147</v>
      </c>
      <c r="D29" s="2">
        <v>156468.02914285715</v>
      </c>
      <c r="E29" s="2">
        <v>57616.844914285721</v>
      </c>
      <c r="F29" s="2">
        <v>17409.598971428572</v>
      </c>
      <c r="G29" s="2"/>
      <c r="H29" s="2">
        <v>26100.575999999997</v>
      </c>
      <c r="I29" s="2">
        <f t="shared" si="2"/>
        <v>394444.12422857143</v>
      </c>
      <c r="L29" s="2"/>
      <c r="O29" s="5"/>
    </row>
    <row r="30" spans="1:15">
      <c r="A30" s="30" t="s">
        <v>109</v>
      </c>
      <c r="B30" s="2">
        <v>1102126.7387999999</v>
      </c>
      <c r="C30" s="2">
        <v>953165.66034285713</v>
      </c>
      <c r="D30" s="2">
        <v>1372967.054</v>
      </c>
      <c r="E30" s="2">
        <v>255763.42948571424</v>
      </c>
      <c r="F30" s="2">
        <v>138400.26697142856</v>
      </c>
      <c r="G30" s="2"/>
      <c r="H30" s="2">
        <v>-3822422.937485714</v>
      </c>
      <c r="I30" s="2">
        <f t="shared" si="2"/>
        <v>0.21211428567767143</v>
      </c>
      <c r="O30" s="5"/>
    </row>
    <row r="31" spans="1:15">
      <c r="A31" s="30" t="s">
        <v>35</v>
      </c>
      <c r="B31" s="2">
        <v>198898.01485714287</v>
      </c>
      <c r="C31" s="2">
        <v>42068.180571428566</v>
      </c>
      <c r="D31" s="2">
        <v>129695.53714285715</v>
      </c>
      <c r="E31" s="2">
        <v>156769.01142857142</v>
      </c>
      <c r="F31" s="2">
        <v>817231.8</v>
      </c>
      <c r="G31" s="2"/>
      <c r="H31" s="2">
        <v>0</v>
      </c>
      <c r="I31" s="2">
        <f t="shared" si="2"/>
        <v>1344662.544</v>
      </c>
      <c r="O31" s="5"/>
    </row>
    <row r="32" spans="1:15">
      <c r="A32" s="30" t="s">
        <v>36</v>
      </c>
      <c r="B32" s="2">
        <v>705648.10285714269</v>
      </c>
      <c r="C32" s="2">
        <v>150287.21142857141</v>
      </c>
      <c r="D32" s="2">
        <v>374391.84000000008</v>
      </c>
      <c r="E32" s="2">
        <v>169406.88</v>
      </c>
      <c r="F32" s="2">
        <v>682336.18285714299</v>
      </c>
      <c r="G32" s="2"/>
      <c r="H32" s="2">
        <v>20714.074285714287</v>
      </c>
      <c r="I32" s="2">
        <f t="shared" si="2"/>
        <v>2102784.2914285711</v>
      </c>
      <c r="O32" s="5"/>
    </row>
    <row r="33" spans="1:13">
      <c r="A33" s="46" t="s">
        <v>26</v>
      </c>
      <c r="B33" s="7">
        <v>248973.63017142852</v>
      </c>
      <c r="C33" s="7">
        <v>115025.26011428572</v>
      </c>
      <c r="D33" s="7">
        <v>242287.75748571428</v>
      </c>
      <c r="E33" s="7">
        <v>155859.7536</v>
      </c>
      <c r="F33" s="7">
        <v>21553.765714285713</v>
      </c>
      <c r="G33" s="7"/>
      <c r="H33" s="7">
        <v>358798.91862857138</v>
      </c>
      <c r="I33" s="7">
        <f t="shared" si="2"/>
        <v>1142499.0857142855</v>
      </c>
    </row>
    <row r="34" spans="1:13" s="30" customFormat="1">
      <c r="A34" s="46" t="s">
        <v>37</v>
      </c>
      <c r="B34" s="57">
        <f>SUM(B24:B33)</f>
        <v>5944870.3437714288</v>
      </c>
      <c r="C34" s="57">
        <f t="shared" ref="C34:I34" si="3">SUM(C24:C33)</f>
        <v>4549424.1070285719</v>
      </c>
      <c r="D34" s="57">
        <f t="shared" si="3"/>
        <v>7427165.2801714279</v>
      </c>
      <c r="E34" s="57">
        <f t="shared" si="3"/>
        <v>1897480.6245714282</v>
      </c>
      <c r="F34" s="57">
        <f t="shared" si="3"/>
        <v>3005889.1217142856</v>
      </c>
      <c r="G34" s="57">
        <f t="shared" si="3"/>
        <v>339700.63570093457</v>
      </c>
      <c r="H34" s="57">
        <f t="shared" si="3"/>
        <v>20714.303085715685</v>
      </c>
      <c r="I34" s="57">
        <f t="shared" si="3"/>
        <v>23185244.416043788</v>
      </c>
    </row>
    <row r="35" spans="1:13" s="30" customFormat="1">
      <c r="A35" s="30" t="s">
        <v>38</v>
      </c>
      <c r="B35" s="54">
        <f>SUM(B21-B34)</f>
        <v>381587.35574190039</v>
      </c>
      <c r="C35" s="54">
        <f t="shared" ref="C35:I35" si="4">SUM(C21-C34)</f>
        <v>549865.6126541635</v>
      </c>
      <c r="D35" s="54">
        <f t="shared" si="4"/>
        <v>847799.56042989809</v>
      </c>
      <c r="E35" s="54">
        <f t="shared" si="4"/>
        <v>-227459.33283875487</v>
      </c>
      <c r="F35" s="54">
        <f t="shared" si="4"/>
        <v>-1623358.8390714284</v>
      </c>
      <c r="G35" s="54">
        <f t="shared" si="4"/>
        <v>688972.05607556039</v>
      </c>
      <c r="H35" s="54">
        <f t="shared" si="4"/>
        <v>-20714.303085715685</v>
      </c>
      <c r="I35" s="54">
        <f t="shared" si="4"/>
        <v>596692.10990563035</v>
      </c>
      <c r="M35" s="58"/>
    </row>
    <row r="36" spans="1:13">
      <c r="B36" s="2"/>
      <c r="C36" s="2"/>
      <c r="D36" s="2"/>
      <c r="E36" s="2"/>
      <c r="F36" s="2"/>
      <c r="G36" s="2"/>
    </row>
    <row r="37" spans="1:13">
      <c r="A37" s="30" t="s">
        <v>39</v>
      </c>
    </row>
    <row r="38" spans="1:13">
      <c r="A38" s="30" t="s">
        <v>19</v>
      </c>
      <c r="B38" s="2"/>
      <c r="C38" s="2"/>
      <c r="D38" s="2"/>
      <c r="E38" s="2"/>
      <c r="F38" s="2"/>
      <c r="G38" s="2"/>
    </row>
    <row r="39" spans="1:13">
      <c r="A39" s="30" t="s">
        <v>110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/>
      <c r="I39" s="2">
        <v>0</v>
      </c>
    </row>
    <row r="40" spans="1:13">
      <c r="A40" s="30" t="s">
        <v>40</v>
      </c>
      <c r="B40" s="2">
        <v>0</v>
      </c>
      <c r="C40" s="2">
        <v>1000000</v>
      </c>
      <c r="D40" s="2">
        <v>0</v>
      </c>
      <c r="E40" s="2">
        <v>0</v>
      </c>
      <c r="F40" s="2">
        <v>0</v>
      </c>
      <c r="G40" s="2"/>
      <c r="I40" s="2">
        <f>SUM(B40:H40)</f>
        <v>1000000</v>
      </c>
    </row>
    <row r="41" spans="1:13">
      <c r="A41" s="30" t="s">
        <v>41</v>
      </c>
      <c r="B41" s="2">
        <v>145617.54</v>
      </c>
      <c r="C41" s="2">
        <v>31450.311428571429</v>
      </c>
      <c r="D41" s="2">
        <v>48038.931428571428</v>
      </c>
      <c r="E41" s="2">
        <v>0</v>
      </c>
      <c r="F41" s="2">
        <v>220377.98262857142</v>
      </c>
      <c r="G41" s="2"/>
      <c r="I41" s="2">
        <f t="shared" ref="I41:I44" si="5">SUM(B41:H41)</f>
        <v>445484.76548571431</v>
      </c>
    </row>
    <row r="42" spans="1:13">
      <c r="A42" s="30" t="s">
        <v>42</v>
      </c>
      <c r="B42" s="2">
        <v>0</v>
      </c>
      <c r="C42" s="2">
        <v>0</v>
      </c>
      <c r="D42" s="2">
        <v>0</v>
      </c>
      <c r="E42" s="2">
        <v>0</v>
      </c>
      <c r="F42" s="2">
        <v>1307297.4749714285</v>
      </c>
      <c r="G42" s="2"/>
      <c r="I42" s="2">
        <f t="shared" si="5"/>
        <v>1307297.4749714285</v>
      </c>
    </row>
    <row r="43" spans="1:13">
      <c r="A43" s="30" t="s">
        <v>43</v>
      </c>
      <c r="B43" s="2">
        <v>0</v>
      </c>
      <c r="C43" s="2">
        <v>0</v>
      </c>
      <c r="D43" s="2">
        <v>0</v>
      </c>
      <c r="E43" s="2">
        <v>64038.525942857137</v>
      </c>
      <c r="F43" s="2">
        <v>0</v>
      </c>
      <c r="G43" s="2"/>
      <c r="I43" s="2">
        <f t="shared" si="5"/>
        <v>64038.525942857137</v>
      </c>
    </row>
    <row r="44" spans="1:13">
      <c r="A44" s="46" t="s">
        <v>26</v>
      </c>
      <c r="B44" s="7">
        <v>244357.90868571427</v>
      </c>
      <c r="C44" s="7">
        <v>27759.445714285714</v>
      </c>
      <c r="D44" s="7">
        <v>158557.76434285715</v>
      </c>
      <c r="E44" s="7">
        <v>0</v>
      </c>
      <c r="F44" s="7">
        <v>2190.0157714285715</v>
      </c>
      <c r="G44" s="7"/>
      <c r="H44" s="6"/>
      <c r="I44" s="7">
        <f t="shared" si="5"/>
        <v>432865.13451428572</v>
      </c>
    </row>
    <row r="45" spans="1:13" s="30" customFormat="1">
      <c r="A45" s="30" t="s">
        <v>44</v>
      </c>
      <c r="B45" s="54">
        <f>SUM(B39:B44)</f>
        <v>389975.44868571428</v>
      </c>
      <c r="C45" s="54">
        <f t="shared" ref="C45:I45" si="6">SUM(C39:C44)</f>
        <v>1059209.7571428572</v>
      </c>
      <c r="D45" s="54">
        <f t="shared" si="6"/>
        <v>206596.69577142858</v>
      </c>
      <c r="E45" s="54">
        <f t="shared" si="6"/>
        <v>64038.525942857137</v>
      </c>
      <c r="F45" s="54">
        <f t="shared" si="6"/>
        <v>1529865.4733714284</v>
      </c>
      <c r="G45" s="54">
        <f t="shared" si="6"/>
        <v>0</v>
      </c>
      <c r="H45" s="54">
        <f t="shared" si="6"/>
        <v>0</v>
      </c>
      <c r="I45" s="54">
        <f t="shared" si="6"/>
        <v>3249685.9009142853</v>
      </c>
    </row>
    <row r="46" spans="1:13">
      <c r="B46" s="2"/>
      <c r="C46" s="2"/>
      <c r="D46" s="2"/>
      <c r="E46" s="2"/>
      <c r="F46" s="2"/>
      <c r="G46" s="2"/>
    </row>
    <row r="47" spans="1:13">
      <c r="A47" s="30" t="s">
        <v>28</v>
      </c>
      <c r="B47" s="2"/>
      <c r="C47" s="2"/>
      <c r="D47" s="2"/>
      <c r="E47" s="2"/>
      <c r="F47" s="2"/>
      <c r="G47" s="2"/>
    </row>
    <row r="48" spans="1:13">
      <c r="A48" s="30" t="s">
        <v>29</v>
      </c>
      <c r="B48" s="2">
        <v>365895</v>
      </c>
      <c r="C48" s="2">
        <v>824536</v>
      </c>
      <c r="D48" s="2">
        <v>428145</v>
      </c>
      <c r="E48" s="2">
        <v>64038.525942857137</v>
      </c>
      <c r="F48" s="2">
        <v>493288.59394285717</v>
      </c>
      <c r="G48" s="2"/>
      <c r="I48" s="2">
        <f>SUM(B48:H48)</f>
        <v>2175903.1198857143</v>
      </c>
    </row>
    <row r="49" spans="1:9">
      <c r="A49" s="30" t="s">
        <v>30</v>
      </c>
      <c r="B49" s="2">
        <v>952.13211428571435</v>
      </c>
      <c r="C49" s="2">
        <v>78889.912457142855</v>
      </c>
      <c r="D49" s="2">
        <v>3528.7919999999999</v>
      </c>
      <c r="E49" s="2">
        <v>573.25165714285708</v>
      </c>
      <c r="F49" s="2">
        <v>163487.36228571428</v>
      </c>
      <c r="G49" s="2"/>
      <c r="I49" s="2">
        <f t="shared" ref="I49:I57" si="7">SUM(B49:H49)</f>
        <v>247431.45051428571</v>
      </c>
    </row>
    <row r="50" spans="1:9">
      <c r="A50" s="30" t="s">
        <v>31</v>
      </c>
      <c r="B50" s="2">
        <v>10759.39714285714</v>
      </c>
      <c r="C50" s="2">
        <v>2608.0292571428567</v>
      </c>
      <c r="D50" s="2">
        <v>0</v>
      </c>
      <c r="E50" s="2">
        <v>0</v>
      </c>
      <c r="F50" s="2">
        <v>4983.4285714285725</v>
      </c>
      <c r="G50" s="2"/>
      <c r="I50" s="2">
        <f t="shared" si="7"/>
        <v>18350.854971428569</v>
      </c>
    </row>
    <row r="51" spans="1:9">
      <c r="A51" s="30" t="s">
        <v>32</v>
      </c>
      <c r="B51" s="2">
        <v>2644.9066285714284</v>
      </c>
      <c r="C51" s="2">
        <v>1986.5345142857145</v>
      </c>
      <c r="D51" s="2">
        <v>0</v>
      </c>
      <c r="E51" s="2">
        <v>0</v>
      </c>
      <c r="F51" s="2">
        <v>0</v>
      </c>
      <c r="G51" s="2"/>
      <c r="I51" s="2">
        <f t="shared" si="7"/>
        <v>4631.4411428571429</v>
      </c>
    </row>
    <row r="52" spans="1:9">
      <c r="A52" s="30" t="s">
        <v>33</v>
      </c>
      <c r="B52" s="2">
        <v>86159.283428571434</v>
      </c>
      <c r="C52" s="2">
        <v>331234.02662857145</v>
      </c>
      <c r="D52" s="2">
        <v>6983.0948571428571</v>
      </c>
      <c r="E52" s="2">
        <v>0</v>
      </c>
      <c r="F52" s="2">
        <v>129520</v>
      </c>
      <c r="G52" s="2"/>
      <c r="I52" s="2">
        <f t="shared" si="7"/>
        <v>553896.40491428575</v>
      </c>
    </row>
    <row r="53" spans="1:9">
      <c r="A53" s="30" t="s">
        <v>34</v>
      </c>
      <c r="B53" s="2">
        <v>0</v>
      </c>
      <c r="C53" s="2">
        <v>5565.9651428571433</v>
      </c>
      <c r="D53" s="2">
        <v>0</v>
      </c>
      <c r="E53" s="2">
        <v>0</v>
      </c>
      <c r="F53" s="2">
        <v>811.98411428571433</v>
      </c>
      <c r="G53" s="2"/>
      <c r="I53" s="2">
        <f t="shared" si="7"/>
        <v>6377.9492571428573</v>
      </c>
    </row>
    <row r="54" spans="1:9">
      <c r="A54" s="30" t="s">
        <v>109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/>
      <c r="I54" s="2">
        <f t="shared" si="7"/>
        <v>0</v>
      </c>
    </row>
    <row r="55" spans="1:9">
      <c r="A55" s="30" t="s">
        <v>35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/>
      <c r="I55" s="2">
        <f t="shared" si="7"/>
        <v>0</v>
      </c>
    </row>
    <row r="56" spans="1:9">
      <c r="A56" s="30" t="s">
        <v>36</v>
      </c>
      <c r="B56" s="2">
        <v>416169.1028571428</v>
      </c>
      <c r="C56" s="2">
        <v>50721.565714285709</v>
      </c>
      <c r="D56" s="2">
        <v>164582.94857142857</v>
      </c>
      <c r="E56" s="2">
        <v>0</v>
      </c>
      <c r="F56" s="2">
        <v>1571.3999999999999</v>
      </c>
      <c r="G56" s="2"/>
      <c r="I56" s="2">
        <f t="shared" si="7"/>
        <v>633045.01714285708</v>
      </c>
    </row>
    <row r="57" spans="1:9">
      <c r="A57" s="46" t="s">
        <v>26</v>
      </c>
      <c r="B57" s="7">
        <v>39622.733485714285</v>
      </c>
      <c r="C57" s="7">
        <v>5200.9158857142866</v>
      </c>
      <c r="D57" s="7">
        <v>998.3643428571429</v>
      </c>
      <c r="E57" s="7">
        <v>0</v>
      </c>
      <c r="F57" s="7">
        <v>31783.433142857142</v>
      </c>
      <c r="G57" s="7"/>
      <c r="H57" s="6"/>
      <c r="I57" s="7">
        <f t="shared" si="7"/>
        <v>77605.446857142859</v>
      </c>
    </row>
    <row r="58" spans="1:9" s="30" customFormat="1">
      <c r="A58" s="46" t="s">
        <v>37</v>
      </c>
      <c r="B58" s="57">
        <f>SUM(B48:B57)</f>
        <v>922202.55565714277</v>
      </c>
      <c r="C58" s="57">
        <f t="shared" ref="C58:I58" si="8">SUM(C48:C57)</f>
        <v>1300742.9495999999</v>
      </c>
      <c r="D58" s="57">
        <f t="shared" si="8"/>
        <v>604238.1997714286</v>
      </c>
      <c r="E58" s="57">
        <f t="shared" si="8"/>
        <v>64611.777599999994</v>
      </c>
      <c r="F58" s="57">
        <f t="shared" si="8"/>
        <v>825446.20205714286</v>
      </c>
      <c r="G58" s="57">
        <f t="shared" si="8"/>
        <v>0</v>
      </c>
      <c r="H58" s="57">
        <f t="shared" si="8"/>
        <v>0</v>
      </c>
      <c r="I58" s="57">
        <f t="shared" si="8"/>
        <v>3717241.6846857136</v>
      </c>
    </row>
    <row r="59" spans="1:9" s="30" customFormat="1">
      <c r="A59" s="30" t="s">
        <v>38</v>
      </c>
      <c r="B59" s="54">
        <f>SUM(B45-B58)</f>
        <v>-532227.1069714285</v>
      </c>
      <c r="C59" s="54">
        <f t="shared" ref="C59:F59" si="9">SUM(C45-C58)</f>
        <v>-241533.19245714275</v>
      </c>
      <c r="D59" s="54">
        <f t="shared" si="9"/>
        <v>-397641.50400000002</v>
      </c>
      <c r="E59" s="54">
        <f t="shared" si="9"/>
        <v>-573.25165714285686</v>
      </c>
      <c r="F59" s="54">
        <f t="shared" si="9"/>
        <v>704419.27131428558</v>
      </c>
      <c r="G59" s="54">
        <f>SUM(G45-G58)</f>
        <v>0</v>
      </c>
      <c r="H59" s="54">
        <f t="shared" ref="H59" si="10">SUM(H45-H58)</f>
        <v>0</v>
      </c>
      <c r="I59" s="54">
        <f t="shared" ref="I59" si="11">SUM(I45-I58)</f>
        <v>-467555.78377142828</v>
      </c>
    </row>
    <row r="60" spans="1:9">
      <c r="B60" s="2"/>
      <c r="C60" s="2"/>
      <c r="D60" s="2"/>
      <c r="E60" s="2"/>
      <c r="F60" s="2"/>
      <c r="G60" s="2"/>
    </row>
    <row r="62" spans="1:9">
      <c r="A62" s="30" t="s">
        <v>46</v>
      </c>
      <c r="B62" s="2"/>
      <c r="C62" s="2"/>
      <c r="D62" s="2"/>
      <c r="E62" s="2"/>
      <c r="F62" s="2"/>
      <c r="G62" s="2"/>
    </row>
    <row r="63" spans="1:9" s="30" customFormat="1">
      <c r="A63" s="30" t="s">
        <v>19</v>
      </c>
      <c r="B63" s="54">
        <f>SUM(B45,B21)</f>
        <v>6716433.1481990432</v>
      </c>
      <c r="C63" s="54">
        <f t="shared" ref="C63:I63" si="12">SUM(C45,C21)</f>
        <v>6158499.476825593</v>
      </c>
      <c r="D63" s="54">
        <f t="shared" si="12"/>
        <v>8481561.5363727547</v>
      </c>
      <c r="E63" s="54">
        <f t="shared" si="12"/>
        <v>1734059.8176755304</v>
      </c>
      <c r="F63" s="54">
        <f t="shared" si="12"/>
        <v>2912395.7560142856</v>
      </c>
      <c r="G63" s="54">
        <f t="shared" si="12"/>
        <v>1028672.691776495</v>
      </c>
      <c r="H63" s="54">
        <f t="shared" si="12"/>
        <v>0</v>
      </c>
      <c r="I63" s="54">
        <f t="shared" si="12"/>
        <v>27031622.426863704</v>
      </c>
    </row>
    <row r="64" spans="1:9">
      <c r="A64" s="30" t="s">
        <v>28</v>
      </c>
      <c r="B64" s="2"/>
      <c r="C64" s="2"/>
      <c r="D64" s="2"/>
      <c r="E64" s="2"/>
      <c r="F64" s="2"/>
      <c r="G64" s="2"/>
      <c r="I64" s="2"/>
    </row>
    <row r="65" spans="1:12">
      <c r="A65" s="30" t="s">
        <v>29</v>
      </c>
      <c r="B65" s="2">
        <f>SUM(B48+B24)</f>
        <v>2784852</v>
      </c>
      <c r="C65" s="2">
        <f t="shared" ref="C65:H65" si="13">SUM(C48+C24)</f>
        <v>2783401</v>
      </c>
      <c r="D65" s="2">
        <f t="shared" si="13"/>
        <v>4325560</v>
      </c>
      <c r="E65" s="2">
        <f t="shared" si="13"/>
        <v>845574.52594285714</v>
      </c>
      <c r="F65" s="2">
        <f t="shared" si="13"/>
        <v>1259131.5939428571</v>
      </c>
      <c r="G65" s="2">
        <f t="shared" si="13"/>
        <v>332668.86</v>
      </c>
      <c r="H65" s="2">
        <f t="shared" si="13"/>
        <v>2561882.6221714295</v>
      </c>
      <c r="I65" s="2">
        <f>SUM(B65:H65)</f>
        <v>14893070.602057142</v>
      </c>
      <c r="L65" s="2"/>
    </row>
    <row r="66" spans="1:12">
      <c r="A66" s="30" t="s">
        <v>30</v>
      </c>
      <c r="B66" s="2">
        <f>SUM(B49+B25)</f>
        <v>198117.68039999998</v>
      </c>
      <c r="C66" s="2">
        <f t="shared" ref="C66:H66" si="14">SUM(C49+C25)</f>
        <v>300251.96485714283</v>
      </c>
      <c r="D66" s="2">
        <f t="shared" si="14"/>
        <v>240601.83737142858</v>
      </c>
      <c r="E66" s="2">
        <f t="shared" si="14"/>
        <v>75572.365371428576</v>
      </c>
      <c r="F66" s="2">
        <f t="shared" si="14"/>
        <v>268257.30342857144</v>
      </c>
      <c r="G66" s="2">
        <f t="shared" si="14"/>
        <v>7031.7757009345796</v>
      </c>
      <c r="H66" s="2">
        <f t="shared" si="14"/>
        <v>466952.39794285723</v>
      </c>
      <c r="I66" s="2">
        <f t="shared" ref="I66:I74" si="15">SUM(B66:H66)</f>
        <v>1556785.325072363</v>
      </c>
      <c r="L66" s="2"/>
    </row>
    <row r="67" spans="1:12">
      <c r="A67" s="30" t="s">
        <v>31</v>
      </c>
      <c r="B67" s="2">
        <f>SUM(B50+B26)</f>
        <v>393327.39714285714</v>
      </c>
      <c r="C67" s="2">
        <f t="shared" ref="C67:H67" si="16">SUM(C50+C26)</f>
        <v>641582.0292571428</v>
      </c>
      <c r="D67" s="2">
        <f t="shared" si="16"/>
        <v>407853</v>
      </c>
      <c r="E67" s="2">
        <f t="shared" si="16"/>
        <v>102944.62491428568</v>
      </c>
      <c r="F67" s="2">
        <f t="shared" si="16"/>
        <v>294628.42857142858</v>
      </c>
      <c r="G67" s="2">
        <f t="shared" si="16"/>
        <v>0</v>
      </c>
      <c r="H67" s="2">
        <f t="shared" si="16"/>
        <v>297479.91085714271</v>
      </c>
      <c r="I67" s="2">
        <f t="shared" si="15"/>
        <v>2137815.390742857</v>
      </c>
      <c r="L67" s="2"/>
    </row>
    <row r="68" spans="1:12">
      <c r="A68" s="30" t="s">
        <v>32</v>
      </c>
      <c r="B68" s="2">
        <f>SUM(B51+B27)</f>
        <v>381926.1888</v>
      </c>
      <c r="C68" s="2">
        <f t="shared" ref="C68:H68" si="17">SUM(C51+C27)</f>
        <v>331117.77394285717</v>
      </c>
      <c r="D68" s="2">
        <f t="shared" si="17"/>
        <v>523301.63348571432</v>
      </c>
      <c r="E68" s="2">
        <f t="shared" si="17"/>
        <v>119192.24571428572</v>
      </c>
      <c r="F68" s="2">
        <f t="shared" si="17"/>
        <v>115909.77497142859</v>
      </c>
      <c r="G68" s="2">
        <f t="shared" si="17"/>
        <v>0</v>
      </c>
      <c r="H68" s="2">
        <f t="shared" si="17"/>
        <v>21388.875428571435</v>
      </c>
      <c r="I68" s="2">
        <f t="shared" si="15"/>
        <v>1492836.4923428572</v>
      </c>
      <c r="L68" s="2"/>
    </row>
    <row r="69" spans="1:12">
      <c r="A69" s="30" t="s">
        <v>33</v>
      </c>
      <c r="B69" s="2">
        <f t="shared" ref="B69:B74" si="18">SUM(B52,B28)</f>
        <v>321006.60720000003</v>
      </c>
      <c r="C69" s="2">
        <f t="shared" ref="C69:H69" si="19">SUM(C52,C28)</f>
        <v>411335.15702857147</v>
      </c>
      <c r="D69" s="2">
        <f t="shared" si="19"/>
        <v>92695.478399999993</v>
      </c>
      <c r="E69" s="2">
        <f t="shared" si="19"/>
        <v>23392.720799999999</v>
      </c>
      <c r="F69" s="2">
        <f t="shared" si="19"/>
        <v>182309.7910857143</v>
      </c>
      <c r="G69" s="2">
        <f t="shared" si="19"/>
        <v>0</v>
      </c>
      <c r="H69" s="2">
        <f t="shared" si="19"/>
        <v>89819.865257142839</v>
      </c>
      <c r="I69" s="2">
        <f t="shared" si="15"/>
        <v>1120559.6197714286</v>
      </c>
      <c r="L69" s="2"/>
    </row>
    <row r="70" spans="1:12">
      <c r="A70" s="30" t="s">
        <v>34</v>
      </c>
      <c r="B70" s="2">
        <f t="shared" si="18"/>
        <v>76404.702857142853</v>
      </c>
      <c r="C70" s="2">
        <f t="shared" ref="C70:H70" si="20">SUM(C53,C29)</f>
        <v>66010.337485714292</v>
      </c>
      <c r="D70" s="2">
        <f t="shared" si="20"/>
        <v>156468.02914285715</v>
      </c>
      <c r="E70" s="2">
        <f t="shared" si="20"/>
        <v>57616.844914285721</v>
      </c>
      <c r="F70" s="2">
        <f t="shared" si="20"/>
        <v>18221.583085714286</v>
      </c>
      <c r="G70" s="2">
        <f t="shared" si="20"/>
        <v>0</v>
      </c>
      <c r="H70" s="2">
        <f t="shared" si="20"/>
        <v>26100.575999999997</v>
      </c>
      <c r="I70" s="2">
        <f t="shared" si="15"/>
        <v>400822.07348571427</v>
      </c>
      <c r="L70" s="2"/>
    </row>
    <row r="71" spans="1:12">
      <c r="A71" s="30" t="s">
        <v>109</v>
      </c>
      <c r="B71" s="2">
        <f t="shared" si="18"/>
        <v>1102126.7387999999</v>
      </c>
      <c r="C71" s="2">
        <f t="shared" ref="C71:H71" si="21">SUM(C54,C30)</f>
        <v>953165.66034285713</v>
      </c>
      <c r="D71" s="2">
        <f t="shared" si="21"/>
        <v>1372967.054</v>
      </c>
      <c r="E71" s="2">
        <f t="shared" si="21"/>
        <v>255763.42948571424</v>
      </c>
      <c r="F71" s="2">
        <f t="shared" si="21"/>
        <v>138400.26697142856</v>
      </c>
      <c r="G71" s="2">
        <f t="shared" si="21"/>
        <v>0</v>
      </c>
      <c r="H71" s="2">
        <f t="shared" si="21"/>
        <v>-3822422.937485714</v>
      </c>
      <c r="I71" s="2">
        <f t="shared" si="15"/>
        <v>0.21211428567767143</v>
      </c>
      <c r="K71" s="2"/>
      <c r="L71" s="2"/>
    </row>
    <row r="72" spans="1:12">
      <c r="A72" s="30" t="s">
        <v>35</v>
      </c>
      <c r="B72" s="2">
        <f t="shared" si="18"/>
        <v>198898.01485714287</v>
      </c>
      <c r="C72" s="2">
        <f t="shared" ref="C72:H72" si="22">SUM(C55,C31)</f>
        <v>42068.180571428566</v>
      </c>
      <c r="D72" s="2">
        <f t="shared" si="22"/>
        <v>129695.53714285715</v>
      </c>
      <c r="E72" s="2">
        <f t="shared" si="22"/>
        <v>156769.01142857142</v>
      </c>
      <c r="F72" s="2">
        <f t="shared" si="22"/>
        <v>817231.8</v>
      </c>
      <c r="G72" s="2">
        <f t="shared" si="22"/>
        <v>0</v>
      </c>
      <c r="H72" s="2">
        <f t="shared" si="22"/>
        <v>0</v>
      </c>
      <c r="I72" s="2">
        <f t="shared" si="15"/>
        <v>1344662.544</v>
      </c>
      <c r="L72" s="2"/>
    </row>
    <row r="73" spans="1:12">
      <c r="A73" s="30" t="s">
        <v>36</v>
      </c>
      <c r="B73" s="2">
        <f t="shared" si="18"/>
        <v>1121817.2057142854</v>
      </c>
      <c r="C73" s="2">
        <f t="shared" ref="C73:H73" si="23">SUM(C56,C32)</f>
        <v>201008.77714285711</v>
      </c>
      <c r="D73" s="2">
        <f t="shared" si="23"/>
        <v>538974.78857142862</v>
      </c>
      <c r="E73" s="2">
        <f t="shared" si="23"/>
        <v>169406.88</v>
      </c>
      <c r="F73" s="2">
        <f t="shared" si="23"/>
        <v>683907.58285714302</v>
      </c>
      <c r="G73" s="2">
        <f t="shared" si="23"/>
        <v>0</v>
      </c>
      <c r="H73" s="2">
        <f t="shared" si="23"/>
        <v>20714.074285714287</v>
      </c>
      <c r="I73" s="2">
        <f t="shared" si="15"/>
        <v>2735829.3085714285</v>
      </c>
      <c r="L73" s="2"/>
    </row>
    <row r="74" spans="1:12">
      <c r="A74" s="46" t="s">
        <v>26</v>
      </c>
      <c r="B74" s="7">
        <f t="shared" si="18"/>
        <v>288596.36365714279</v>
      </c>
      <c r="C74" s="7">
        <f t="shared" ref="C74:H74" si="24">SUM(C57,C33)</f>
        <v>120226.17600000001</v>
      </c>
      <c r="D74" s="7">
        <f t="shared" si="24"/>
        <v>243286.12182857143</v>
      </c>
      <c r="E74" s="7">
        <f t="shared" si="24"/>
        <v>155859.7536</v>
      </c>
      <c r="F74" s="7">
        <f t="shared" si="24"/>
        <v>53337.198857142852</v>
      </c>
      <c r="G74" s="7">
        <f t="shared" si="24"/>
        <v>0</v>
      </c>
      <c r="H74" s="7">
        <f t="shared" si="24"/>
        <v>358798.91862857138</v>
      </c>
      <c r="I74" s="7">
        <f t="shared" si="15"/>
        <v>1220104.5325714285</v>
      </c>
      <c r="L74" s="2"/>
    </row>
    <row r="75" spans="1:12" s="30" customFormat="1">
      <c r="A75" s="46" t="s">
        <v>37</v>
      </c>
      <c r="B75" s="57">
        <f>SUM(B65:B74)</f>
        <v>6867072.8994285716</v>
      </c>
      <c r="C75" s="57">
        <f t="shared" ref="C75:I75" si="25">SUM(C65:C74)</f>
        <v>5850167.0566285709</v>
      </c>
      <c r="D75" s="57">
        <f t="shared" si="25"/>
        <v>8031403.4799428582</v>
      </c>
      <c r="E75" s="57">
        <f t="shared" si="25"/>
        <v>1962092.4021714283</v>
      </c>
      <c r="F75" s="57">
        <f t="shared" si="25"/>
        <v>3831335.3237714288</v>
      </c>
      <c r="G75" s="57">
        <f t="shared" si="25"/>
        <v>339700.63570093457</v>
      </c>
      <c r="H75" s="57">
        <f t="shared" si="25"/>
        <v>20714.303085715685</v>
      </c>
      <c r="I75" s="57">
        <f t="shared" si="25"/>
        <v>26902486.100729499</v>
      </c>
      <c r="L75" s="54"/>
    </row>
    <row r="76" spans="1:12">
      <c r="B76" s="2"/>
      <c r="C76" s="2"/>
      <c r="D76" s="2"/>
      <c r="E76" s="2"/>
      <c r="F76" s="2"/>
      <c r="G76" s="2"/>
      <c r="I76" s="2"/>
    </row>
    <row r="77" spans="1:12">
      <c r="A77" s="47" t="s">
        <v>38</v>
      </c>
      <c r="B77" s="9">
        <f>SUM(B63-B75)</f>
        <v>-150639.75122952834</v>
      </c>
      <c r="C77" s="9">
        <f t="shared" ref="C77:I77" si="26">SUM(C63-C75)</f>
        <v>308332.42019702215</v>
      </c>
      <c r="D77" s="9">
        <f t="shared" si="26"/>
        <v>450158.0564298965</v>
      </c>
      <c r="E77" s="9">
        <f t="shared" si="26"/>
        <v>-228032.58449589787</v>
      </c>
      <c r="F77" s="9">
        <f t="shared" si="26"/>
        <v>-918939.56775714317</v>
      </c>
      <c r="G77" s="9">
        <f t="shared" si="26"/>
        <v>688972.05607556039</v>
      </c>
      <c r="H77" s="9">
        <f t="shared" si="26"/>
        <v>-20714.303085715685</v>
      </c>
      <c r="I77" s="9">
        <f t="shared" si="26"/>
        <v>129136.32613420486</v>
      </c>
    </row>
    <row r="78" spans="1:12">
      <c r="B78" s="2"/>
      <c r="C78" s="2"/>
      <c r="D78" s="2"/>
      <c r="E78" s="2"/>
      <c r="F78" s="2"/>
      <c r="G78" s="2"/>
      <c r="I78" s="2"/>
    </row>
    <row r="79" spans="1:12">
      <c r="A79" s="30" t="s">
        <v>47</v>
      </c>
    </row>
    <row r="80" spans="1:12">
      <c r="A80" s="30" t="s">
        <v>48</v>
      </c>
      <c r="B80" s="2">
        <v>1121817.2057142854</v>
      </c>
      <c r="C80" s="2">
        <v>201008.77714285711</v>
      </c>
      <c r="D80" s="2">
        <v>538974.78857142862</v>
      </c>
      <c r="E80" s="2">
        <v>169406.88</v>
      </c>
      <c r="F80" s="2">
        <v>683907.58285714302</v>
      </c>
      <c r="G80" s="2">
        <v>0</v>
      </c>
      <c r="H80" s="2">
        <v>20714.074285714287</v>
      </c>
      <c r="I80" s="2">
        <v>2735829.3085714285</v>
      </c>
    </row>
    <row r="81" spans="1:9">
      <c r="A81" s="30" t="s">
        <v>49</v>
      </c>
      <c r="H81" s="2">
        <v>-400000</v>
      </c>
      <c r="I81" s="2">
        <v>-400000</v>
      </c>
    </row>
    <row r="82" spans="1:9">
      <c r="A82" s="46" t="s">
        <v>50</v>
      </c>
      <c r="B82" s="7">
        <v>-357262</v>
      </c>
      <c r="C82" s="7"/>
      <c r="D82" s="7">
        <v>-338488</v>
      </c>
      <c r="E82" s="6"/>
      <c r="F82" s="6"/>
      <c r="G82" s="6"/>
      <c r="H82" s="7">
        <v>0</v>
      </c>
      <c r="I82" s="7">
        <v>-695750</v>
      </c>
    </row>
    <row r="83" spans="1:9" s="30" customFormat="1">
      <c r="A83" s="30" t="s">
        <v>51</v>
      </c>
      <c r="B83" s="54">
        <f t="shared" ref="B83:H83" si="27">SUM(B77:B82)</f>
        <v>613915.45448475704</v>
      </c>
      <c r="C83" s="54">
        <f t="shared" si="27"/>
        <v>509341.19733987923</v>
      </c>
      <c r="D83" s="54">
        <f t="shared" si="27"/>
        <v>650644.84500132513</v>
      </c>
      <c r="E83" s="54">
        <f t="shared" si="27"/>
        <v>-58625.704495897866</v>
      </c>
      <c r="F83" s="54">
        <f t="shared" si="27"/>
        <v>-235031.98490000016</v>
      </c>
      <c r="G83" s="54">
        <f t="shared" si="27"/>
        <v>688972.05607556039</v>
      </c>
      <c r="H83" s="54">
        <f t="shared" si="27"/>
        <v>-400000.22880000138</v>
      </c>
      <c r="I83" s="54">
        <f>SUM(I77:I82)</f>
        <v>1769215.6347056334</v>
      </c>
    </row>
    <row r="84" spans="1:9">
      <c r="B84" s="2"/>
      <c r="C84" s="2"/>
      <c r="D84" s="2"/>
      <c r="E84" s="2"/>
      <c r="F84" s="2"/>
      <c r="G84" s="2"/>
      <c r="H84" s="2"/>
      <c r="I84" s="2"/>
    </row>
    <row r="89" spans="1:9">
      <c r="B89" s="2"/>
      <c r="C89" s="2"/>
      <c r="D89" s="2"/>
      <c r="E89" s="2"/>
      <c r="F89" s="2"/>
      <c r="G89" s="2"/>
      <c r="H89" s="2"/>
      <c r="I89" s="2"/>
    </row>
    <row r="90" spans="1:9">
      <c r="B90" s="2"/>
      <c r="C90" s="2"/>
      <c r="D90" s="2"/>
      <c r="E90" s="2"/>
      <c r="F90" s="2"/>
      <c r="G90" s="2"/>
      <c r="H90" s="2"/>
      <c r="I90" s="2"/>
    </row>
    <row r="91" spans="1:9">
      <c r="B91" s="2"/>
      <c r="C91" s="2"/>
      <c r="D91" s="2"/>
      <c r="E91" s="2"/>
      <c r="F91" s="2"/>
      <c r="G91" s="2"/>
      <c r="H91" s="2"/>
      <c r="I91" s="2"/>
    </row>
    <row r="93" spans="1:9">
      <c r="B93" s="2"/>
      <c r="C93" s="2"/>
      <c r="D93" s="2"/>
      <c r="E93" s="2"/>
      <c r="F93" s="2"/>
      <c r="I93" s="2"/>
    </row>
    <row r="94" spans="1:9">
      <c r="B94" s="2"/>
      <c r="C94" s="2"/>
      <c r="D94" s="2"/>
      <c r="E94" s="2"/>
      <c r="F94" s="2"/>
      <c r="I94" s="2"/>
    </row>
    <row r="95" spans="1:9">
      <c r="B95" s="2"/>
      <c r="C95" s="2"/>
      <c r="D95" s="2"/>
      <c r="E95" s="2"/>
      <c r="F95" s="2"/>
      <c r="I95" s="2"/>
    </row>
    <row r="96" spans="1:9">
      <c r="B96" s="2"/>
      <c r="C96" s="2"/>
      <c r="D96" s="2"/>
      <c r="E96" s="2"/>
      <c r="F96" s="2"/>
      <c r="I96" s="2"/>
    </row>
    <row r="97" spans="2:9">
      <c r="B97" s="2"/>
      <c r="C97" s="2"/>
      <c r="D97" s="2"/>
      <c r="E97" s="2"/>
      <c r="F97" s="2"/>
      <c r="G97" s="2"/>
      <c r="H97" s="2"/>
      <c r="I97" s="2"/>
    </row>
  </sheetData>
  <mergeCells count="2">
    <mergeCell ref="B1:G1"/>
    <mergeCell ref="B2:G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91E7-A91A-4C8F-B81D-01B58A6A2A90}">
  <dimension ref="A1:O44"/>
  <sheetViews>
    <sheetView workbookViewId="0">
      <selection activeCell="F17" sqref="F17"/>
    </sheetView>
  </sheetViews>
  <sheetFormatPr defaultRowHeight="15"/>
  <cols>
    <col min="1" max="1" width="36.7109375" customWidth="1"/>
    <col min="3" max="3" width="15.7109375" customWidth="1"/>
    <col min="6" max="6" width="35.7109375" customWidth="1"/>
    <col min="8" max="8" width="15.7109375" customWidth="1"/>
    <col min="11" max="11" width="36.7109375" customWidth="1"/>
    <col min="13" max="13" width="20.7109375" customWidth="1"/>
    <col min="15" max="15" width="22.42578125" customWidth="1"/>
  </cols>
  <sheetData>
    <row r="1" spans="1:15" ht="15.75" thickBot="1"/>
    <row r="2" spans="1:15" ht="15.75" thickBot="1">
      <c r="A2" s="61" t="s">
        <v>111</v>
      </c>
      <c r="C2" s="62">
        <v>1169487</v>
      </c>
      <c r="H2" s="63">
        <v>2678510</v>
      </c>
      <c r="M2" s="63">
        <v>660577</v>
      </c>
    </row>
    <row r="3" spans="1:15">
      <c r="C3" s="64"/>
      <c r="H3" s="21"/>
      <c r="M3" s="21"/>
    </row>
    <row r="4" spans="1:15">
      <c r="A4" s="60" t="s">
        <v>112</v>
      </c>
      <c r="B4" s="23">
        <v>0.99850000000000005</v>
      </c>
      <c r="C4" s="21">
        <v>1167732.77</v>
      </c>
      <c r="F4" s="60" t="s">
        <v>113</v>
      </c>
      <c r="G4" s="23" t="s">
        <v>45</v>
      </c>
      <c r="H4" s="21">
        <v>2667795.96</v>
      </c>
      <c r="K4" s="60" t="s">
        <v>114</v>
      </c>
      <c r="L4" s="23">
        <v>0.98399999999999999</v>
      </c>
      <c r="M4" s="21">
        <v>650007.76</v>
      </c>
    </row>
    <row r="5" spans="1:15">
      <c r="C5" s="21"/>
      <c r="H5" s="21"/>
      <c r="M5" s="21"/>
    </row>
    <row r="6" spans="1:15">
      <c r="A6" t="s">
        <v>115</v>
      </c>
      <c r="B6" s="4">
        <v>0</v>
      </c>
      <c r="C6" s="21">
        <v>0</v>
      </c>
      <c r="F6" t="s">
        <v>115</v>
      </c>
      <c r="G6" s="23">
        <v>1E-4</v>
      </c>
      <c r="H6" s="21">
        <v>267.85000000000002</v>
      </c>
      <c r="K6" t="s">
        <v>115</v>
      </c>
      <c r="L6" s="23">
        <v>5.9999999999999995E-4</v>
      </c>
      <c r="M6" s="21">
        <v>396.35</v>
      </c>
    </row>
    <row r="7" spans="1:15">
      <c r="C7" s="21"/>
      <c r="H7" s="21"/>
      <c r="M7" s="21"/>
    </row>
    <row r="8" spans="1:15">
      <c r="A8" s="8" t="s">
        <v>116</v>
      </c>
      <c r="B8" s="65">
        <v>0</v>
      </c>
      <c r="C8" s="66">
        <v>0</v>
      </c>
      <c r="F8" s="8" t="s">
        <v>116</v>
      </c>
      <c r="G8" s="67">
        <v>5.9999999999999995E-4</v>
      </c>
      <c r="H8" s="66">
        <v>1607.11</v>
      </c>
      <c r="K8" s="8" t="s">
        <v>116</v>
      </c>
      <c r="L8" s="67">
        <v>2.5000000000000001E-3</v>
      </c>
      <c r="M8" s="66">
        <v>1651.44</v>
      </c>
      <c r="O8" s="66">
        <f>SUM(H8,M8)</f>
        <v>3258.55</v>
      </c>
    </row>
    <row r="9" spans="1:15">
      <c r="C9" s="21"/>
      <c r="H9" s="21"/>
      <c r="M9" s="21"/>
    </row>
    <row r="10" spans="1:15">
      <c r="A10" s="68" t="s">
        <v>117</v>
      </c>
      <c r="B10" s="69">
        <v>1E-3</v>
      </c>
      <c r="C10" s="70">
        <v>1169.49</v>
      </c>
      <c r="F10" s="68" t="s">
        <v>117</v>
      </c>
      <c r="G10" s="69">
        <v>4.0000000000000002E-4</v>
      </c>
      <c r="H10" s="70">
        <v>1071.4000000000001</v>
      </c>
      <c r="K10" s="68" t="s">
        <v>117</v>
      </c>
      <c r="L10" s="69">
        <v>2.8999999999999998E-3</v>
      </c>
      <c r="M10" s="70">
        <v>1915.67</v>
      </c>
      <c r="O10" s="71">
        <f>SUM(C10,H10,M10)</f>
        <v>4156.5600000000004</v>
      </c>
    </row>
    <row r="11" spans="1:15">
      <c r="C11" s="21"/>
      <c r="H11" s="21"/>
      <c r="M11" s="21"/>
    </row>
    <row r="12" spans="1:15">
      <c r="A12" s="72" t="s">
        <v>118</v>
      </c>
      <c r="B12" s="73">
        <v>5.0000000000000001E-4</v>
      </c>
      <c r="C12" s="74">
        <v>584.74</v>
      </c>
      <c r="F12" s="72" t="s">
        <v>118</v>
      </c>
      <c r="G12" s="73">
        <v>1E-3</v>
      </c>
      <c r="H12" s="74">
        <v>2678.51</v>
      </c>
      <c r="K12" s="72" t="s">
        <v>118</v>
      </c>
      <c r="L12" s="73">
        <v>1.4E-3</v>
      </c>
      <c r="M12" s="74">
        <v>924.81</v>
      </c>
      <c r="O12" s="74">
        <f>SUM(C12,H12,M12)</f>
        <v>4188.0599999999995</v>
      </c>
    </row>
    <row r="13" spans="1:15">
      <c r="C13" s="21"/>
      <c r="G13" s="23"/>
      <c r="H13" s="21"/>
      <c r="M13" s="21"/>
    </row>
    <row r="14" spans="1:15">
      <c r="A14" t="s">
        <v>119</v>
      </c>
      <c r="B14" s="4">
        <v>0</v>
      </c>
      <c r="C14" s="21">
        <v>0</v>
      </c>
      <c r="F14" t="s">
        <v>119</v>
      </c>
      <c r="G14" s="23">
        <v>1E-3</v>
      </c>
      <c r="H14" s="21">
        <v>2678.51</v>
      </c>
      <c r="K14" t="s">
        <v>119</v>
      </c>
      <c r="L14" s="23">
        <v>7.6E-3</v>
      </c>
      <c r="M14" s="21">
        <v>5020.3900000000003</v>
      </c>
    </row>
    <row r="15" spans="1:15">
      <c r="C15" s="21"/>
      <c r="H15" s="21"/>
      <c r="M15" s="21"/>
    </row>
    <row r="16" spans="1:15">
      <c r="A16" s="12" t="s">
        <v>120</v>
      </c>
      <c r="B16" s="75">
        <v>0</v>
      </c>
      <c r="C16" s="76">
        <v>0</v>
      </c>
      <c r="F16" s="12" t="s">
        <v>120</v>
      </c>
      <c r="G16" s="77">
        <v>5.9999999999999995E-4</v>
      </c>
      <c r="H16" s="76">
        <v>1607.11</v>
      </c>
      <c r="K16" s="12" t="s">
        <v>120</v>
      </c>
      <c r="L16" s="77">
        <v>4.0000000000000002E-4</v>
      </c>
      <c r="M16" s="76">
        <v>264.23</v>
      </c>
      <c r="O16" s="76">
        <f>SUM(H16,M16)</f>
        <v>1871.34</v>
      </c>
    </row>
    <row r="17" spans="1:15">
      <c r="C17" s="21"/>
      <c r="H17" s="21"/>
      <c r="M17" s="21"/>
    </row>
    <row r="18" spans="1:15">
      <c r="A18" s="78" t="s">
        <v>121</v>
      </c>
      <c r="B18" s="79">
        <v>0</v>
      </c>
      <c r="C18" s="80">
        <v>0</v>
      </c>
      <c r="F18" s="78" t="s">
        <v>121</v>
      </c>
      <c r="G18" s="81">
        <v>2.9999999999999997E-4</v>
      </c>
      <c r="H18" s="80">
        <v>803.55</v>
      </c>
      <c r="K18" s="78" t="s">
        <v>121</v>
      </c>
      <c r="L18" s="81">
        <v>5.9999999999999995E-4</v>
      </c>
      <c r="M18" s="80">
        <v>396.35</v>
      </c>
      <c r="O18" s="80">
        <f>SUM(C18,H18,M18)</f>
        <v>1199.9000000000001</v>
      </c>
    </row>
    <row r="19" spans="1:15">
      <c r="C19" s="21"/>
      <c r="H19" s="21"/>
      <c r="M19" s="21"/>
    </row>
    <row r="20" spans="1:15">
      <c r="C20" s="21">
        <f>SUM(C4:C19)</f>
        <v>1169487</v>
      </c>
      <c r="H20" s="21">
        <f>SUM(H4:H19)</f>
        <v>2678509.9999999991</v>
      </c>
      <c r="M20" s="21">
        <f>SUM(M4:M19)</f>
        <v>660577</v>
      </c>
    </row>
    <row r="21" spans="1:15">
      <c r="M21" s="21"/>
    </row>
    <row r="24" spans="1:15" ht="15.75" thickBot="1"/>
    <row r="25" spans="1:15" ht="15.75" thickBot="1">
      <c r="A25" s="61" t="s">
        <v>111</v>
      </c>
      <c r="C25" s="62">
        <v>810676</v>
      </c>
      <c r="H25" s="63">
        <v>6102014</v>
      </c>
      <c r="M25" s="63">
        <v>83720</v>
      </c>
    </row>
    <row r="26" spans="1:15">
      <c r="C26" s="64"/>
      <c r="H26" s="21"/>
      <c r="M26" s="21"/>
    </row>
    <row r="27" spans="1:15">
      <c r="A27" s="60" t="s">
        <v>122</v>
      </c>
      <c r="B27" s="23">
        <v>1</v>
      </c>
      <c r="C27" s="21">
        <v>810676</v>
      </c>
      <c r="F27" s="60" t="s">
        <v>123</v>
      </c>
      <c r="G27" s="23">
        <v>0.8599</v>
      </c>
      <c r="H27" s="21">
        <v>5247121.84</v>
      </c>
      <c r="K27" s="60" t="s">
        <v>124</v>
      </c>
      <c r="L27" s="23">
        <v>0.99919999999999998</v>
      </c>
      <c r="M27" s="21">
        <v>83653.02</v>
      </c>
    </row>
    <row r="28" spans="1:15">
      <c r="C28" s="21"/>
      <c r="H28" s="21"/>
      <c r="M28" s="21"/>
    </row>
    <row r="29" spans="1:15">
      <c r="A29" t="s">
        <v>115</v>
      </c>
      <c r="B29" s="4">
        <v>0</v>
      </c>
      <c r="C29" s="21">
        <v>0</v>
      </c>
      <c r="F29" t="s">
        <v>115</v>
      </c>
      <c r="G29" s="23">
        <v>8.8999999999999999E-3</v>
      </c>
      <c r="H29" s="21">
        <v>54307.92</v>
      </c>
      <c r="K29" t="s">
        <v>115</v>
      </c>
      <c r="L29" s="23">
        <v>0</v>
      </c>
      <c r="M29" s="21">
        <v>0</v>
      </c>
    </row>
    <row r="30" spans="1:15">
      <c r="C30" s="21"/>
      <c r="H30" s="21"/>
      <c r="M30" s="21"/>
    </row>
    <row r="31" spans="1:15">
      <c r="A31" s="8" t="s">
        <v>116</v>
      </c>
      <c r="B31" s="65">
        <v>0</v>
      </c>
      <c r="C31" s="66">
        <v>0</v>
      </c>
      <c r="F31" s="8" t="s">
        <v>116</v>
      </c>
      <c r="G31" s="67">
        <v>2.7900000000000001E-2</v>
      </c>
      <c r="H31" s="66">
        <v>170246.19</v>
      </c>
      <c r="K31" s="8" t="s">
        <v>116</v>
      </c>
      <c r="L31" s="67">
        <v>8.0000000000000004E-4</v>
      </c>
      <c r="M31" s="66">
        <v>66.98</v>
      </c>
      <c r="O31" s="66">
        <f>SUM(H31,M31)</f>
        <v>170313.17</v>
      </c>
    </row>
    <row r="32" spans="1:15">
      <c r="B32" s="5"/>
      <c r="C32" s="21"/>
      <c r="H32" s="21"/>
      <c r="M32" s="21"/>
    </row>
    <row r="33" spans="1:15">
      <c r="A33" s="68" t="s">
        <v>117</v>
      </c>
      <c r="B33" s="82">
        <v>0</v>
      </c>
      <c r="C33" s="70">
        <v>0</v>
      </c>
      <c r="F33" s="68" t="s">
        <v>117</v>
      </c>
      <c r="G33" s="69">
        <v>3.9399999999999998E-2</v>
      </c>
      <c r="H33" s="70">
        <v>240419.35</v>
      </c>
      <c r="K33" s="68" t="s">
        <v>117</v>
      </c>
      <c r="L33" s="69">
        <v>0</v>
      </c>
      <c r="M33" s="70">
        <v>0</v>
      </c>
      <c r="O33" s="70">
        <f>SUM(H33)</f>
        <v>240419.35</v>
      </c>
    </row>
    <row r="34" spans="1:15">
      <c r="B34" s="5"/>
      <c r="C34" s="21"/>
      <c r="H34" s="21"/>
      <c r="M34" s="21"/>
    </row>
    <row r="35" spans="1:15">
      <c r="A35" s="72" t="s">
        <v>118</v>
      </c>
      <c r="B35" s="83">
        <v>0</v>
      </c>
      <c r="C35" s="74">
        <v>0</v>
      </c>
      <c r="F35" s="72" t="s">
        <v>118</v>
      </c>
      <c r="G35" s="73">
        <v>2.4899999999999999E-2</v>
      </c>
      <c r="H35" s="74">
        <v>151940.15</v>
      </c>
      <c r="K35" s="72" t="s">
        <v>118</v>
      </c>
      <c r="L35" s="73">
        <v>0</v>
      </c>
      <c r="M35" s="74">
        <v>0</v>
      </c>
      <c r="O35" s="74">
        <f>SUM(C35,H35,M35)</f>
        <v>151940.15</v>
      </c>
    </row>
    <row r="36" spans="1:15">
      <c r="C36" s="21"/>
      <c r="G36" s="23"/>
      <c r="H36" s="21"/>
      <c r="M36" s="21"/>
    </row>
    <row r="37" spans="1:15">
      <c r="A37" t="s">
        <v>119</v>
      </c>
      <c r="B37" s="4">
        <v>0</v>
      </c>
      <c r="C37" s="21">
        <v>0</v>
      </c>
      <c r="F37" t="s">
        <v>119</v>
      </c>
      <c r="G37" s="23">
        <v>2.87E-2</v>
      </c>
      <c r="H37" s="21">
        <v>175127.8</v>
      </c>
      <c r="K37" t="s">
        <v>119</v>
      </c>
      <c r="L37" s="23">
        <v>0</v>
      </c>
      <c r="M37" s="21">
        <v>0</v>
      </c>
    </row>
    <row r="38" spans="1:15">
      <c r="C38" s="21"/>
      <c r="H38" s="21"/>
      <c r="M38" s="21"/>
    </row>
    <row r="39" spans="1:15">
      <c r="A39" s="12" t="s">
        <v>120</v>
      </c>
      <c r="B39" s="75">
        <v>0</v>
      </c>
      <c r="C39" s="76">
        <v>0</v>
      </c>
      <c r="F39" s="12" t="s">
        <v>120</v>
      </c>
      <c r="G39" s="77">
        <v>6.8999999999999999E-3</v>
      </c>
      <c r="H39" s="76">
        <v>42103.9</v>
      </c>
      <c r="K39" s="12" t="s">
        <v>120</v>
      </c>
      <c r="L39" s="77">
        <v>0</v>
      </c>
      <c r="M39" s="76">
        <v>0</v>
      </c>
      <c r="O39" s="76">
        <f>SUM(C39,H39,M39)</f>
        <v>42103.9</v>
      </c>
    </row>
    <row r="40" spans="1:15">
      <c r="C40" s="21"/>
      <c r="H40" s="21"/>
      <c r="M40" s="21"/>
    </row>
    <row r="41" spans="1:15">
      <c r="A41" s="78" t="s">
        <v>121</v>
      </c>
      <c r="B41" s="79">
        <v>0</v>
      </c>
      <c r="C41" s="80">
        <v>0</v>
      </c>
      <c r="F41" s="78" t="s">
        <v>121</v>
      </c>
      <c r="G41" s="81">
        <v>3.3999999999999998E-3</v>
      </c>
      <c r="H41" s="80">
        <v>20746.849999999999</v>
      </c>
      <c r="K41" s="78" t="s">
        <v>121</v>
      </c>
      <c r="L41" s="81">
        <v>0</v>
      </c>
      <c r="M41" s="80">
        <v>0</v>
      </c>
      <c r="O41" s="80">
        <f>SUM(C41,H41,M41)</f>
        <v>20746.849999999999</v>
      </c>
    </row>
    <row r="42" spans="1:15">
      <c r="C42" s="21"/>
      <c r="H42" s="21"/>
      <c r="M42" s="21"/>
    </row>
    <row r="43" spans="1:15">
      <c r="C43" s="21">
        <f>SUM(C27:C42)</f>
        <v>810676</v>
      </c>
      <c r="H43" s="21">
        <f>SUM(H27:H42)</f>
        <v>6102014</v>
      </c>
      <c r="M43" s="21">
        <f>SUM(M27:M42)</f>
        <v>83720</v>
      </c>
    </row>
    <row r="44" spans="1:15">
      <c r="O44" s="21">
        <f>SUM(O8:O41)</f>
        <v>640197.83000000007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A340-7673-4A3E-95F0-E4A0BE6435DB}">
  <dimension ref="A1:L86"/>
  <sheetViews>
    <sheetView workbookViewId="0">
      <selection activeCell="L38" sqref="L38"/>
    </sheetView>
  </sheetViews>
  <sheetFormatPr defaultRowHeight="15"/>
  <cols>
    <col min="1" max="1" width="29.85546875" style="30" bestFit="1" customWidth="1"/>
    <col min="2" max="2" width="18.28515625" bestFit="1" customWidth="1"/>
    <col min="3" max="3" width="10.28515625" bestFit="1" customWidth="1"/>
    <col min="4" max="4" width="15.140625" customWidth="1"/>
    <col min="5" max="5" width="12.7109375" bestFit="1" customWidth="1"/>
    <col min="6" max="6" width="11.28515625" bestFit="1" customWidth="1"/>
    <col min="8" max="8" width="11.28515625" bestFit="1" customWidth="1"/>
    <col min="10" max="10" width="11.42578125" bestFit="1" customWidth="1"/>
    <col min="11" max="11" width="11.28515625" bestFit="1" customWidth="1"/>
    <col min="12" max="12" width="14.140625" bestFit="1" customWidth="1"/>
    <col min="13" max="15" width="11.28515625" bestFit="1" customWidth="1"/>
  </cols>
  <sheetData>
    <row r="1" spans="1:12" s="30" customFormat="1">
      <c r="A1" s="30" t="s">
        <v>125</v>
      </c>
    </row>
    <row r="2" spans="1:12" s="30" customFormat="1">
      <c r="A2" s="30" t="s">
        <v>126</v>
      </c>
      <c r="B2" s="30" t="s">
        <v>127</v>
      </c>
    </row>
    <row r="3" spans="1:12" s="30" customFormat="1">
      <c r="A3" s="30" t="s">
        <v>128</v>
      </c>
      <c r="B3" s="30" t="s">
        <v>129</v>
      </c>
    </row>
    <row r="6" spans="1:12">
      <c r="A6" s="30" t="s">
        <v>130</v>
      </c>
    </row>
    <row r="7" spans="1:12">
      <c r="A7" s="30" t="s">
        <v>5</v>
      </c>
      <c r="B7" s="30" t="s">
        <v>127</v>
      </c>
      <c r="F7" s="88" t="s">
        <v>131</v>
      </c>
      <c r="G7" s="89"/>
      <c r="H7" s="89"/>
      <c r="I7" s="89"/>
      <c r="J7" s="89"/>
      <c r="K7" s="89"/>
      <c r="L7" s="90"/>
    </row>
    <row r="8" spans="1:12">
      <c r="F8" s="91"/>
      <c r="G8" s="92"/>
      <c r="H8" s="92"/>
      <c r="I8" s="92"/>
      <c r="J8" s="92"/>
      <c r="K8" s="92"/>
      <c r="L8" s="93"/>
    </row>
    <row r="9" spans="1:12">
      <c r="A9" s="30" t="s">
        <v>132</v>
      </c>
      <c r="B9" s="36">
        <v>0.02</v>
      </c>
      <c r="C9" t="s">
        <v>133</v>
      </c>
      <c r="F9" s="94"/>
      <c r="G9" s="95"/>
      <c r="H9" s="95"/>
      <c r="I9" s="95"/>
      <c r="J9" s="95"/>
      <c r="K9" s="95"/>
      <c r="L9" s="96"/>
    </row>
    <row r="10" spans="1:12">
      <c r="B10" s="28"/>
      <c r="C10" t="s">
        <v>134</v>
      </c>
    </row>
    <row r="11" spans="1:12">
      <c r="B11" s="28"/>
    </row>
    <row r="12" spans="1:12">
      <c r="A12" s="30" t="s">
        <v>135</v>
      </c>
      <c r="B12" s="28"/>
    </row>
    <row r="13" spans="1:12">
      <c r="B13" s="31" t="s">
        <v>5</v>
      </c>
      <c r="C13" s="33" t="s">
        <v>136</v>
      </c>
      <c r="D13" s="31" t="s">
        <v>6</v>
      </c>
      <c r="E13" s="33" t="s">
        <v>136</v>
      </c>
      <c r="F13" s="31" t="s">
        <v>7</v>
      </c>
      <c r="G13" s="33" t="s">
        <v>136</v>
      </c>
      <c r="H13" s="31" t="s">
        <v>8</v>
      </c>
      <c r="I13" s="33" t="s">
        <v>136</v>
      </c>
      <c r="J13" s="31" t="s">
        <v>9</v>
      </c>
      <c r="K13" s="33" t="s">
        <v>136</v>
      </c>
      <c r="L13" s="31" t="s">
        <v>10</v>
      </c>
    </row>
    <row r="14" spans="1:12">
      <c r="B14" s="31" t="s">
        <v>11</v>
      </c>
      <c r="C14" s="34" t="s">
        <v>137</v>
      </c>
      <c r="D14" s="31" t="s">
        <v>12</v>
      </c>
      <c r="E14" s="34" t="s">
        <v>137</v>
      </c>
      <c r="F14" s="31" t="s">
        <v>13</v>
      </c>
      <c r="G14" s="34" t="s">
        <v>137</v>
      </c>
      <c r="H14" s="31" t="s">
        <v>14</v>
      </c>
      <c r="I14" s="34" t="s">
        <v>137</v>
      </c>
      <c r="J14" s="31" t="s">
        <v>15</v>
      </c>
      <c r="K14" s="34" t="s">
        <v>137</v>
      </c>
      <c r="L14" s="31" t="s">
        <v>16</v>
      </c>
    </row>
    <row r="15" spans="1:12">
      <c r="A15" s="30" t="s">
        <v>138</v>
      </c>
      <c r="B15" s="29">
        <f>+'25-26 Operating Budget'!I6</f>
        <v>1807</v>
      </c>
      <c r="D15" s="37">
        <f>B15*1.02</f>
        <v>1843.14</v>
      </c>
      <c r="E15" s="30"/>
      <c r="F15" s="37">
        <f>D15*1.02</f>
        <v>1880.0028000000002</v>
      </c>
      <c r="G15" s="30"/>
      <c r="H15" s="37">
        <f>F15*1.02</f>
        <v>1917.6028560000002</v>
      </c>
      <c r="I15" s="30"/>
      <c r="J15" s="37">
        <v>1918</v>
      </c>
      <c r="K15" s="30"/>
      <c r="L15" s="37">
        <v>1918</v>
      </c>
    </row>
    <row r="16" spans="1:12">
      <c r="A16" s="59" t="s">
        <v>20</v>
      </c>
      <c r="B16" s="29">
        <f>+'25-26 Operating Budget'!I14</f>
        <v>16417980.697168855</v>
      </c>
      <c r="C16" s="2">
        <f>+B16/B15</f>
        <v>9085.7668495677117</v>
      </c>
      <c r="D16" s="5">
        <f>+C16*D15*(1+B9)</f>
        <v>17081267.117334478</v>
      </c>
      <c r="E16" s="2">
        <f>+D16/D15</f>
        <v>9267.4821865590657</v>
      </c>
      <c r="F16" s="2">
        <f>+E16*F15*(1+B9)</f>
        <v>17771350.308874793</v>
      </c>
      <c r="G16" s="2">
        <f>+F16/F15</f>
        <v>9452.831830290248</v>
      </c>
      <c r="H16" s="2">
        <f>+G16*H15*(1+B9)</f>
        <v>18489312.861353334</v>
      </c>
      <c r="I16" s="2">
        <f>+H16/H15</f>
        <v>9641.8884668960527</v>
      </c>
      <c r="J16" s="2">
        <f>+I16*J15*(1+B9)</f>
        <v>18863004.921096761</v>
      </c>
      <c r="K16" s="2">
        <f>+J16/J15</f>
        <v>9834.7262362339734</v>
      </c>
      <c r="L16" s="2">
        <f>+K16*L15*(1+B9)</f>
        <v>19240265.019518696</v>
      </c>
    </row>
    <row r="17" spans="1:12">
      <c r="A17" s="59" t="s">
        <v>21</v>
      </c>
      <c r="B17" s="29">
        <f>+'25-26 Operating Budget'!I15</f>
        <v>1403970.7875428572</v>
      </c>
      <c r="C17" s="2">
        <f>+B17/B15</f>
        <v>776.96225099217338</v>
      </c>
      <c r="D17" s="5">
        <f>+C17*D15*(1+B9)</f>
        <v>1460691.2073595887</v>
      </c>
      <c r="E17" s="2">
        <f>+D17/D15</f>
        <v>792.50149601201679</v>
      </c>
      <c r="F17" s="2">
        <f>+E17*F15*(1+B9)</f>
        <v>1519703.1321369163</v>
      </c>
      <c r="G17" s="2">
        <f>+F17/F15</f>
        <v>808.35152593225723</v>
      </c>
      <c r="H17" s="2">
        <f>+G17*H15*(1+B9)</f>
        <v>1581099.1386752478</v>
      </c>
      <c r="I17" s="2">
        <f>+H17/H15</f>
        <v>824.51855645090234</v>
      </c>
      <c r="J17" s="2">
        <f>+I17*J15*(1+B9)</f>
        <v>1613055.1230982873</v>
      </c>
      <c r="K17" s="2">
        <f>+J17/J15</f>
        <v>841.0089275799204</v>
      </c>
      <c r="L17" s="2">
        <f>+K17*L15*(1+B9)</f>
        <v>1645316.225560253</v>
      </c>
    </row>
    <row r="18" spans="1:12">
      <c r="A18" s="59" t="s">
        <v>22</v>
      </c>
      <c r="B18" s="29">
        <f>+'25-26 Operating Budget'!I16</f>
        <v>2569504</v>
      </c>
      <c r="C18" s="2">
        <f>+B18/B15</f>
        <v>1421.972329828445</v>
      </c>
      <c r="D18" s="5">
        <f>+C18*D15*(1+B9)</f>
        <v>2673311.9616000005</v>
      </c>
      <c r="E18" s="2">
        <f>+D18/D15</f>
        <v>1450.4117764250141</v>
      </c>
      <c r="F18" s="2">
        <f>+E18*F15*(1+B9)</f>
        <v>2781313.7648486411</v>
      </c>
      <c r="G18" s="2">
        <f>+F18/F15</f>
        <v>1479.4200119535146</v>
      </c>
      <c r="H18" s="2">
        <f>+G18*H15*(1+B9)</f>
        <v>2893678.8409485267</v>
      </c>
      <c r="I18" s="2">
        <f>+H18/H15</f>
        <v>1509.0084121925852</v>
      </c>
      <c r="J18" s="2">
        <f>+I18*J15*(1+B9)</f>
        <v>2952163.6972770859</v>
      </c>
      <c r="K18" s="2">
        <f>+J18/J15</f>
        <v>1539.188580436437</v>
      </c>
      <c r="L18" s="2">
        <f>+K18*L15*(1+B9)</f>
        <v>3011206.9712226274</v>
      </c>
    </row>
    <row r="19" spans="1:12">
      <c r="A19" s="59" t="s">
        <v>23</v>
      </c>
      <c r="B19" s="29">
        <f>+'25-26 Operating Budget'!I17</f>
        <v>926576.98765714292</v>
      </c>
      <c r="C19" s="2">
        <f>+B19/B15</f>
        <v>512.77088414894456</v>
      </c>
      <c r="D19" s="5">
        <f>+C19*D15*(1+B9)</f>
        <v>964010.69795849151</v>
      </c>
      <c r="E19" s="2">
        <f>+D19/D15</f>
        <v>523.02630183192343</v>
      </c>
      <c r="F19" s="2">
        <f>+E19*F15*(1+B9)</f>
        <v>1002956.7301560146</v>
      </c>
      <c r="G19" s="2">
        <f>+F19/F15</f>
        <v>533.48682786856193</v>
      </c>
      <c r="H19" s="2">
        <f>+G19*H15*(1+B9)</f>
        <v>1043476.1820543176</v>
      </c>
      <c r="I19" s="2">
        <f>+H19/H15</f>
        <v>544.1565644259332</v>
      </c>
      <c r="J19" s="2">
        <f>+I19*J15*(1+B9)</f>
        <v>1064566.1363803188</v>
      </c>
      <c r="K19" s="2">
        <f>+J19/J15</f>
        <v>555.03969571445191</v>
      </c>
      <c r="L19" s="2">
        <f>+K19*L15*(1+B9)</f>
        <v>1085857.4591079252</v>
      </c>
    </row>
    <row r="20" spans="1:12">
      <c r="A20" s="59" t="s">
        <v>24</v>
      </c>
      <c r="B20" s="29">
        <f>+'25-26 Operating Budget'!I18</f>
        <v>832073.67812341882</v>
      </c>
      <c r="C20" s="2">
        <f>+B20/B15</f>
        <v>460.47242840255609</v>
      </c>
      <c r="D20" s="5">
        <f>+C20*D15*(1+B9)</f>
        <v>865689.45471960504</v>
      </c>
      <c r="E20" s="2">
        <f>+D20/D15</f>
        <v>469.68187697060722</v>
      </c>
      <c r="F20" s="2">
        <f>+E20*F15*(1+B9)</f>
        <v>900663.30869027704</v>
      </c>
      <c r="G20" s="2">
        <f>+F20/F15</f>
        <v>479.07551451001933</v>
      </c>
      <c r="H20" s="2">
        <f>+G20*H15*(1+B9)</f>
        <v>937050.10636136425</v>
      </c>
      <c r="I20" s="2">
        <f>+H20/H15</f>
        <v>488.65702480021969</v>
      </c>
      <c r="J20" s="2">
        <f>+I20*J15*(1+B9)</f>
        <v>955989.05703815783</v>
      </c>
      <c r="K20" s="2">
        <f>+J20/J15</f>
        <v>498.43016529622412</v>
      </c>
      <c r="L20" s="2">
        <f>+K20*L15*(1+B9)</f>
        <v>975108.83817892103</v>
      </c>
    </row>
    <row r="21" spans="1:12">
      <c r="A21" s="59" t="s">
        <v>25</v>
      </c>
      <c r="B21" s="29">
        <f>+'25-26 Operating Budget'!I19</f>
        <v>331530.43679999991</v>
      </c>
      <c r="C21" s="2">
        <f>+B21/B15</f>
        <v>183.47008123962362</v>
      </c>
      <c r="D21" s="5">
        <f>+C21*D15*(1+B9)</f>
        <v>344924.26644671994</v>
      </c>
      <c r="E21" s="2">
        <f>+D21/D15</f>
        <v>187.13948286441612</v>
      </c>
      <c r="F21" s="2">
        <f>+E21*F15*(1+B9)</f>
        <v>358859.20681116747</v>
      </c>
      <c r="G21" s="2">
        <f>+F21/F15</f>
        <v>190.88227252170446</v>
      </c>
      <c r="H21" s="2">
        <f>+G21*H15*(1+B9)</f>
        <v>373357.11876633862</v>
      </c>
      <c r="I21" s="2">
        <f>+H21/H15</f>
        <v>194.69991797213854</v>
      </c>
      <c r="J21" s="2">
        <f>+I21*J15*(1+B9)</f>
        <v>380903.13152397296</v>
      </c>
      <c r="K21" s="2">
        <f>+J21/J15</f>
        <v>198.59391633158131</v>
      </c>
      <c r="L21" s="2">
        <f>+K21*L15*(1+B9)</f>
        <v>388521.19415445242</v>
      </c>
    </row>
    <row r="22" spans="1:12">
      <c r="A22" s="59" t="s">
        <v>26</v>
      </c>
      <c r="B22" s="29">
        <f>+'25-26 Operating Budget'!I20</f>
        <v>1300299.9386571429</v>
      </c>
      <c r="C22" s="2">
        <f>+B22/B15</f>
        <v>719.59044751363751</v>
      </c>
      <c r="D22" s="29">
        <f>+C22*D15*(1+B9)</f>
        <v>1352832.0561788916</v>
      </c>
      <c r="E22" s="2">
        <f>+D22/D15</f>
        <v>733.98225646391018</v>
      </c>
      <c r="F22" s="29">
        <f>+E22*F15*(1+B9)</f>
        <v>1407486.4712485187</v>
      </c>
      <c r="G22" s="2">
        <f>+F22/F15</f>
        <v>748.6619015931883</v>
      </c>
      <c r="H22" s="29">
        <f>+G22*H15*(1+B9)</f>
        <v>1464348.9246869588</v>
      </c>
      <c r="I22" s="2">
        <f>+H22/H15</f>
        <v>763.63513962505203</v>
      </c>
      <c r="J22" s="29">
        <f>+I22*J15*(1+B9)</f>
        <v>1493945.2417568669</v>
      </c>
      <c r="K22" s="2">
        <f>+J22/J15</f>
        <v>778.90784241755318</v>
      </c>
      <c r="L22" s="29">
        <f>+K22*L15*(1+B9)</f>
        <v>1523824.1465920042</v>
      </c>
    </row>
    <row r="23" spans="1:12">
      <c r="A23" s="49"/>
      <c r="B23" s="32">
        <f t="shared" ref="B23:L23" si="0">SUM(B16:B22)</f>
        <v>23781936.525949419</v>
      </c>
      <c r="C23" s="35">
        <f t="shared" si="0"/>
        <v>13161.005271693091</v>
      </c>
      <c r="D23" s="35">
        <f t="shared" si="0"/>
        <v>24742726.761597779</v>
      </c>
      <c r="E23" s="35">
        <f t="shared" si="0"/>
        <v>13424.225377126955</v>
      </c>
      <c r="F23" s="35">
        <f t="shared" si="0"/>
        <v>25742332.922766328</v>
      </c>
      <c r="G23" s="35">
        <f t="shared" si="0"/>
        <v>13692.709884669495</v>
      </c>
      <c r="H23" s="35">
        <f t="shared" si="0"/>
        <v>26782323.172846083</v>
      </c>
      <c r="I23" s="35">
        <f t="shared" si="0"/>
        <v>13966.564082362884</v>
      </c>
      <c r="J23" s="35">
        <f t="shared" si="0"/>
        <v>27323627.308171451</v>
      </c>
      <c r="K23" s="35">
        <f t="shared" si="0"/>
        <v>14245.895364010141</v>
      </c>
      <c r="L23" s="35">
        <f t="shared" si="0"/>
        <v>27870099.854334876</v>
      </c>
    </row>
    <row r="24" spans="1:12">
      <c r="A24" s="38" t="s">
        <v>139</v>
      </c>
      <c r="B24" s="28"/>
      <c r="D24" s="5">
        <f>+D23/B23</f>
        <v>1.0404000000000002</v>
      </c>
      <c r="F24" s="5">
        <f>+F23/D23</f>
        <v>1.0404</v>
      </c>
      <c r="H24" s="5">
        <f>+H23/F23</f>
        <v>1.0403999999999998</v>
      </c>
      <c r="J24" s="5">
        <f>+J23/H23</f>
        <v>1.0202112464938884</v>
      </c>
      <c r="L24" s="5">
        <f>+L23/J23</f>
        <v>1.0199999999999998</v>
      </c>
    </row>
    <row r="25" spans="1:12">
      <c r="B25" s="28"/>
    </row>
    <row r="26" spans="1:12">
      <c r="A26" s="30" t="s">
        <v>140</v>
      </c>
      <c r="B26" s="28"/>
    </row>
    <row r="27" spans="1:12">
      <c r="A27" s="49" t="str">
        <f>+'25-26 Operating Budget'!A40</f>
        <v>SIG</v>
      </c>
      <c r="B27" s="29">
        <f>+'5 YEAR MODEL'!B36</f>
        <v>1000000</v>
      </c>
      <c r="C27" s="29"/>
      <c r="D27" s="29">
        <f>+B27</f>
        <v>1000000</v>
      </c>
      <c r="E27" s="29"/>
      <c r="F27" s="29">
        <f>+D27</f>
        <v>1000000</v>
      </c>
      <c r="G27" s="29"/>
      <c r="H27" s="29">
        <f>+F27</f>
        <v>1000000</v>
      </c>
      <c r="I27" s="29"/>
      <c r="J27" s="29">
        <f>+H27</f>
        <v>1000000</v>
      </c>
      <c r="K27" s="29"/>
      <c r="L27" s="29">
        <f>+J27</f>
        <v>1000000</v>
      </c>
    </row>
    <row r="28" spans="1:12">
      <c r="A28" s="49" t="str">
        <f>+'25-26 Operating Budget'!A41</f>
        <v xml:space="preserve">Career Coaching </v>
      </c>
      <c r="B28" s="29">
        <f>+'5 YEAR MODEL'!B37</f>
        <v>445484.76548571431</v>
      </c>
      <c r="C28" s="29"/>
      <c r="D28" s="29">
        <v>445000</v>
      </c>
      <c r="E28" s="29"/>
      <c r="F28" s="29">
        <v>445000</v>
      </c>
      <c r="G28" s="29"/>
      <c r="H28" s="29">
        <f>+F28</f>
        <v>445000</v>
      </c>
      <c r="I28" s="29"/>
      <c r="J28" s="29">
        <f>+H28</f>
        <v>445000</v>
      </c>
      <c r="K28" s="29"/>
      <c r="L28" s="29">
        <f>+J28</f>
        <v>445000</v>
      </c>
    </row>
    <row r="29" spans="1:12">
      <c r="A29" s="49" t="str">
        <f>+'25-26 Operating Budget'!A42</f>
        <v>Quality Counts</v>
      </c>
      <c r="B29" s="29">
        <f>+'5 YEAR MODEL'!B38</f>
        <v>1307297.4749714285</v>
      </c>
      <c r="C29" s="29"/>
      <c r="D29" s="29">
        <v>1000000</v>
      </c>
      <c r="E29" s="29"/>
      <c r="F29" s="29">
        <f>+D29</f>
        <v>1000000</v>
      </c>
      <c r="G29" s="29"/>
      <c r="H29" s="29">
        <f t="shared" ref="H29:L31" si="1">+F29</f>
        <v>1000000</v>
      </c>
      <c r="I29" s="29"/>
      <c r="J29" s="29">
        <f t="shared" si="1"/>
        <v>1000000</v>
      </c>
      <c r="K29" s="29"/>
      <c r="L29" s="29">
        <f t="shared" si="1"/>
        <v>1000000</v>
      </c>
    </row>
    <row r="30" spans="1:12">
      <c r="A30" s="49" t="str">
        <f>+'25-26 Operating Budget'!A43</f>
        <v>Education Excellence</v>
      </c>
      <c r="B30" s="29">
        <f>+'5 YEAR MODEL'!B39</f>
        <v>64038.525942857137</v>
      </c>
      <c r="C30" s="29"/>
      <c r="D30" s="29">
        <v>75000</v>
      </c>
      <c r="E30" s="29"/>
      <c r="F30" s="29">
        <f>+D30</f>
        <v>75000</v>
      </c>
      <c r="G30" s="29"/>
      <c r="H30" s="29">
        <f t="shared" si="1"/>
        <v>75000</v>
      </c>
      <c r="I30" s="29"/>
      <c r="J30" s="29">
        <f t="shared" si="1"/>
        <v>75000</v>
      </c>
      <c r="K30" s="29"/>
      <c r="L30" s="29">
        <f t="shared" si="1"/>
        <v>75000</v>
      </c>
    </row>
    <row r="31" spans="1:12">
      <c r="A31" s="49" t="str">
        <f>+'25-26 Operating Budget'!A44</f>
        <v>Other</v>
      </c>
      <c r="B31" s="29">
        <f>+'5 YEAR MODEL'!B40</f>
        <v>432865.13451428572</v>
      </c>
      <c r="C31" s="29"/>
      <c r="D31" s="29">
        <v>450000</v>
      </c>
      <c r="E31" s="29"/>
      <c r="F31" s="29">
        <f>+D31</f>
        <v>450000</v>
      </c>
      <c r="G31" s="29"/>
      <c r="H31" s="29">
        <f t="shared" si="1"/>
        <v>450000</v>
      </c>
      <c r="I31" s="29"/>
      <c r="J31" s="29">
        <f t="shared" si="1"/>
        <v>450000</v>
      </c>
      <c r="K31" s="29"/>
      <c r="L31" s="29">
        <f t="shared" si="1"/>
        <v>450000</v>
      </c>
    </row>
    <row r="32" spans="1:12">
      <c r="A32" s="50" t="s">
        <v>46</v>
      </c>
      <c r="B32" s="32">
        <f>SUM(B27:B31)</f>
        <v>3249685.9009142853</v>
      </c>
      <c r="C32" s="29"/>
      <c r="D32" s="32">
        <f>SUM(D27:D31)</f>
        <v>2970000</v>
      </c>
      <c r="E32" s="29"/>
      <c r="F32" s="32">
        <f>SUM(F27:F31)</f>
        <v>2970000</v>
      </c>
      <c r="G32" s="29"/>
      <c r="H32" s="32">
        <f>SUM(H27:H31)</f>
        <v>2970000</v>
      </c>
      <c r="I32" s="29"/>
      <c r="J32" s="32">
        <f>SUM(J27:J31)</f>
        <v>2970000</v>
      </c>
      <c r="K32" s="29"/>
      <c r="L32" s="32">
        <f>SUM(L27:L31)</f>
        <v>2970000</v>
      </c>
    </row>
    <row r="33" spans="1:12">
      <c r="B33" s="28"/>
    </row>
    <row r="34" spans="1:12">
      <c r="B34" s="28"/>
    </row>
    <row r="36" spans="1:12">
      <c r="A36" s="49"/>
      <c r="B36" s="28"/>
    </row>
    <row r="37" spans="1:12">
      <c r="A37" s="49"/>
      <c r="B37" s="28"/>
    </row>
    <row r="39" spans="1:12">
      <c r="A39" s="30" t="s">
        <v>141</v>
      </c>
    </row>
    <row r="40" spans="1:12">
      <c r="A40" s="49" t="s">
        <v>142</v>
      </c>
      <c r="B40" s="29">
        <v>400000</v>
      </c>
      <c r="D40" s="29">
        <v>400000</v>
      </c>
      <c r="F40" s="29">
        <v>400000</v>
      </c>
      <c r="H40" s="29">
        <v>400000</v>
      </c>
      <c r="J40" s="29">
        <v>400000</v>
      </c>
      <c r="L40" s="29">
        <v>400000</v>
      </c>
    </row>
    <row r="41" spans="1:12">
      <c r="A41" s="49" t="s">
        <v>36</v>
      </c>
      <c r="B41" t="s">
        <v>143</v>
      </c>
    </row>
    <row r="57" spans="5:6">
      <c r="E57" s="29"/>
    </row>
    <row r="58" spans="5:6">
      <c r="E58" s="29"/>
    </row>
    <row r="59" spans="5:6">
      <c r="E59" s="29"/>
    </row>
    <row r="60" spans="5:6">
      <c r="E60" s="29"/>
    </row>
    <row r="61" spans="5:6">
      <c r="E61" s="29"/>
    </row>
    <row r="62" spans="5:6">
      <c r="E62" s="32"/>
    </row>
    <row r="63" spans="5:6">
      <c r="E63" s="29"/>
      <c r="F63" s="40"/>
    </row>
    <row r="65" spans="4:5">
      <c r="E65" s="5"/>
    </row>
    <row r="66" spans="4:5">
      <c r="E66" s="5"/>
    </row>
    <row r="78" spans="4:5">
      <c r="D78" s="41"/>
      <c r="E78" s="42"/>
    </row>
    <row r="79" spans="4:5">
      <c r="D79" s="43"/>
      <c r="E79" s="45"/>
    </row>
    <row r="80" spans="4:5">
      <c r="D80" s="43"/>
      <c r="E80" s="45"/>
    </row>
    <row r="81" spans="4:5">
      <c r="D81" s="43"/>
      <c r="E81" s="45"/>
    </row>
    <row r="82" spans="4:5">
      <c r="D82" s="43"/>
      <c r="E82" s="45"/>
    </row>
    <row r="83" spans="4:5">
      <c r="D83" s="43"/>
      <c r="E83" s="45"/>
    </row>
    <row r="84" spans="4:5">
      <c r="D84" s="43"/>
      <c r="E84" s="32"/>
    </row>
    <row r="85" spans="4:5">
      <c r="D85" s="43"/>
      <c r="E85" s="32"/>
    </row>
    <row r="86" spans="4:5">
      <c r="D86" s="44"/>
      <c r="E86" s="32"/>
    </row>
  </sheetData>
  <mergeCells count="1">
    <mergeCell ref="F7:L9"/>
  </mergeCells>
  <phoneticPr fontId="5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A5DC-2756-4DF1-9F56-20A23DB5F4C0}">
  <dimension ref="A1:I53"/>
  <sheetViews>
    <sheetView topLeftCell="A10" workbookViewId="0">
      <selection activeCell="I25" activeCellId="2" sqref="I9 I10 I25"/>
    </sheetView>
  </sheetViews>
  <sheetFormatPr defaultRowHeight="15"/>
  <cols>
    <col min="1" max="9" width="21.28515625" customWidth="1"/>
  </cols>
  <sheetData>
    <row r="1" spans="1:9">
      <c r="A1" s="17" t="s">
        <v>52</v>
      </c>
      <c r="B1" s="17"/>
    </row>
    <row r="2" spans="1:9">
      <c r="A2" s="17" t="s">
        <v>53</v>
      </c>
      <c r="B2" s="17"/>
    </row>
    <row r="3" spans="1:9">
      <c r="A3" t="s">
        <v>144</v>
      </c>
      <c r="B3" t="s">
        <v>145</v>
      </c>
    </row>
    <row r="4" spans="1:9">
      <c r="A4" s="6" t="s">
        <v>146</v>
      </c>
      <c r="B4" s="6" t="s">
        <v>147</v>
      </c>
      <c r="C4" s="6" t="s">
        <v>148</v>
      </c>
      <c r="D4" s="6" t="s">
        <v>149</v>
      </c>
      <c r="E4" s="6" t="s">
        <v>150</v>
      </c>
      <c r="F4" s="6" t="s">
        <v>151</v>
      </c>
      <c r="G4" s="6" t="s">
        <v>152</v>
      </c>
      <c r="H4" s="6" t="s">
        <v>153</v>
      </c>
      <c r="I4" s="6" t="s">
        <v>154</v>
      </c>
    </row>
    <row r="5" spans="1:9">
      <c r="A5" s="8" t="s">
        <v>155</v>
      </c>
      <c r="B5" s="9">
        <v>6326457.695261755</v>
      </c>
      <c r="C5" s="9">
        <v>5099289.6400235649</v>
      </c>
      <c r="D5" s="9">
        <v>8274965.1773120686</v>
      </c>
      <c r="E5" s="9">
        <v>1670021.2917326731</v>
      </c>
      <c r="F5" s="9">
        <v>1382530.2826428569</v>
      </c>
      <c r="G5" s="9"/>
      <c r="H5" s="9">
        <v>1028672.691776495</v>
      </c>
      <c r="I5" s="9">
        <v>23781936.778749414</v>
      </c>
    </row>
    <row r="6" spans="1:9">
      <c r="A6" s="10" t="s">
        <v>156</v>
      </c>
      <c r="B6" s="11">
        <v>5623.4057142857146</v>
      </c>
      <c r="C6" s="11">
        <v>4948.5970285714284</v>
      </c>
      <c r="D6" s="11">
        <v>8097.7042285714278</v>
      </c>
      <c r="E6" s="11">
        <v>2024.426057142857</v>
      </c>
      <c r="F6" s="11">
        <v>1799.4898285714282</v>
      </c>
      <c r="G6" s="11"/>
      <c r="H6" s="11"/>
      <c r="I6" s="11">
        <v>22493.622857142858</v>
      </c>
    </row>
    <row r="7" spans="1:9">
      <c r="A7" s="10" t="s">
        <v>157</v>
      </c>
      <c r="B7" s="11">
        <v>3019.1358857142859</v>
      </c>
      <c r="C7" s="11">
        <v>2559.2965714285715</v>
      </c>
      <c r="D7" s="11">
        <v>3341.5899428571433</v>
      </c>
      <c r="E7" s="11">
        <v>816.60034285714289</v>
      </c>
      <c r="F7" s="11">
        <v>1017.7909714285714</v>
      </c>
      <c r="G7" s="11"/>
      <c r="H7" s="11"/>
      <c r="I7" s="11">
        <v>10754.413714285713</v>
      </c>
    </row>
    <row r="8" spans="1:9">
      <c r="A8" s="10" t="s">
        <v>158</v>
      </c>
      <c r="B8" s="11">
        <v>5166.591428571428</v>
      </c>
      <c r="C8" s="11">
        <v>5984.3807999999999</v>
      </c>
      <c r="D8" s="11">
        <v>6861.3418285714288</v>
      </c>
      <c r="E8" s="11">
        <v>1428.4604571428572</v>
      </c>
      <c r="F8" s="11">
        <v>1664.4826285714284</v>
      </c>
      <c r="G8" s="11"/>
      <c r="H8" s="11"/>
      <c r="I8" s="11">
        <v>21105.257142857143</v>
      </c>
    </row>
    <row r="9" spans="1:9">
      <c r="A9" s="10" t="s">
        <v>159</v>
      </c>
      <c r="B9" s="11">
        <v>3957892.9152000002</v>
      </c>
      <c r="C9" s="11">
        <v>3499061.2223999999</v>
      </c>
      <c r="D9" s="11">
        <v>5067124</v>
      </c>
      <c r="E9" s="11">
        <v>1115333.8367999999</v>
      </c>
      <c r="F9" s="11">
        <v>919400.64</v>
      </c>
      <c r="G9" s="11"/>
      <c r="H9" s="11"/>
      <c r="I9" s="11">
        <v>14558812.614400001</v>
      </c>
    </row>
    <row r="10" spans="1:9">
      <c r="A10" s="10" t="s">
        <v>160</v>
      </c>
      <c r="B10" s="11">
        <v>254425.38569343067</v>
      </c>
      <c r="C10" s="11">
        <v>183980.70188524592</v>
      </c>
      <c r="D10" s="11">
        <v>281785.83891206898</v>
      </c>
      <c r="E10" s="11">
        <v>55633.510132673269</v>
      </c>
      <c r="F10" s="11">
        <v>56248.241500000004</v>
      </c>
      <c r="G10" s="11"/>
      <c r="H10" s="11"/>
      <c r="I10" s="11">
        <v>832073.67812341882</v>
      </c>
    </row>
    <row r="11" spans="1:9">
      <c r="A11" s="10" t="s">
        <v>161</v>
      </c>
      <c r="B11" s="11">
        <v>723702</v>
      </c>
      <c r="C11" s="11">
        <v>602602</v>
      </c>
      <c r="D11" s="11">
        <v>907200</v>
      </c>
      <c r="E11" s="11">
        <v>191800</v>
      </c>
      <c r="F11" s="11">
        <v>144200</v>
      </c>
      <c r="G11" s="11"/>
      <c r="H11" s="11"/>
      <c r="I11" s="11">
        <v>2569504</v>
      </c>
    </row>
    <row r="12" spans="1:9">
      <c r="A12" s="10" t="s">
        <v>162</v>
      </c>
      <c r="B12" s="11">
        <v>515861</v>
      </c>
      <c r="C12" s="11"/>
      <c r="D12" s="11"/>
      <c r="E12" s="11"/>
      <c r="F12" s="11"/>
      <c r="G12" s="11"/>
      <c r="H12" s="11"/>
      <c r="I12" s="11">
        <v>515861</v>
      </c>
    </row>
    <row r="13" spans="1:9">
      <c r="A13" s="10" t="s">
        <v>163</v>
      </c>
      <c r="B13" s="11">
        <v>77810.373599999992</v>
      </c>
      <c r="C13" s="11">
        <v>66992.182199999996</v>
      </c>
      <c r="D13" s="11">
        <v>98273.899200000014</v>
      </c>
      <c r="E13" s="11">
        <v>18204.837600000003</v>
      </c>
      <c r="F13" s="11">
        <v>16846.961142857144</v>
      </c>
      <c r="G13" s="11"/>
      <c r="H13" s="11"/>
      <c r="I13" s="11">
        <v>278128.25374285714</v>
      </c>
    </row>
    <row r="14" spans="1:9">
      <c r="A14" s="10" t="s">
        <v>164</v>
      </c>
      <c r="B14" s="11">
        <v>8989.9652571428578</v>
      </c>
      <c r="C14" s="11">
        <v>4438.3813714285716</v>
      </c>
      <c r="D14" s="11">
        <v>3460.8425142857141</v>
      </c>
      <c r="E14" s="11"/>
      <c r="F14" s="11"/>
      <c r="G14" s="11"/>
      <c r="H14" s="11"/>
      <c r="I14" s="11">
        <v>16889.189142857143</v>
      </c>
    </row>
    <row r="15" spans="1:9">
      <c r="A15" s="10" t="s">
        <v>165</v>
      </c>
      <c r="B15" s="11">
        <v>5808.1422857142861</v>
      </c>
      <c r="C15" s="11">
        <v>4356.6006857142856</v>
      </c>
      <c r="D15" s="11">
        <v>13332.437485714285</v>
      </c>
      <c r="E15" s="11">
        <v>10842.943885714285</v>
      </c>
      <c r="F15" s="11">
        <v>5905.3103999999994</v>
      </c>
      <c r="G15" s="11"/>
      <c r="H15" s="11"/>
      <c r="I15" s="11">
        <v>40245.434742857149</v>
      </c>
    </row>
    <row r="16" spans="1:9">
      <c r="A16" s="10" t="s">
        <v>166</v>
      </c>
      <c r="B16" s="11">
        <v>36734.600571428564</v>
      </c>
      <c r="C16" s="11">
        <v>28395.453600000001</v>
      </c>
      <c r="D16" s="11">
        <v>120679.19588571429</v>
      </c>
      <c r="E16" s="11">
        <v>26096.851542857141</v>
      </c>
      <c r="F16" s="11">
        <v>6540.8636571428569</v>
      </c>
      <c r="G16" s="11"/>
      <c r="H16" s="11"/>
      <c r="I16" s="11">
        <v>218446.96525714285</v>
      </c>
    </row>
    <row r="17" spans="1:9">
      <c r="A17" s="10" t="s">
        <v>167</v>
      </c>
      <c r="B17" s="11">
        <v>266850.5698285714</v>
      </c>
      <c r="C17" s="11">
        <v>252254.66708571429</v>
      </c>
      <c r="D17" s="11">
        <v>389110.68411428574</v>
      </c>
      <c r="E17" s="11">
        <v>95797.951199999996</v>
      </c>
      <c r="F17" s="11">
        <v>76826.912914285713</v>
      </c>
      <c r="G17" s="11"/>
      <c r="H17" s="11"/>
      <c r="I17" s="11">
        <v>1080840.7851428571</v>
      </c>
    </row>
    <row r="18" spans="1:9">
      <c r="A18" s="10" t="s">
        <v>168</v>
      </c>
      <c r="B18" s="11"/>
      <c r="C18" s="11"/>
      <c r="D18" s="11">
        <v>32604.492342857142</v>
      </c>
      <c r="E18" s="11"/>
      <c r="F18" s="11"/>
      <c r="G18" s="11"/>
      <c r="H18" s="11"/>
      <c r="I18" s="11">
        <v>32604.492342857142</v>
      </c>
    </row>
    <row r="19" spans="1:9">
      <c r="A19" s="10" t="s">
        <v>169</v>
      </c>
      <c r="B19" s="11">
        <v>4347.0534857142848</v>
      </c>
      <c r="C19" s="11"/>
      <c r="D19" s="11"/>
      <c r="E19" s="11"/>
      <c r="F19" s="11"/>
      <c r="G19" s="11"/>
      <c r="H19" s="11"/>
      <c r="I19" s="11">
        <v>4347.0534857142848</v>
      </c>
    </row>
    <row r="20" spans="1:9">
      <c r="A20" s="10" t="s">
        <v>170</v>
      </c>
      <c r="B20" s="11">
        <v>10141.219999999999</v>
      </c>
      <c r="C20" s="11">
        <v>8999</v>
      </c>
      <c r="D20" s="11">
        <v>13032</v>
      </c>
      <c r="E20" s="11">
        <v>1318</v>
      </c>
      <c r="F20" s="11">
        <v>1152</v>
      </c>
      <c r="G20" s="11"/>
      <c r="H20" s="11"/>
      <c r="I20" s="11">
        <v>34642.22</v>
      </c>
    </row>
    <row r="21" spans="1:9">
      <c r="A21" s="10" t="s">
        <v>26</v>
      </c>
      <c r="B21" s="11">
        <v>400349.99417142849</v>
      </c>
      <c r="C21" s="11"/>
      <c r="D21" s="11"/>
      <c r="E21" s="11">
        <v>9789.7093714285711</v>
      </c>
      <c r="F21" s="11">
        <v>31382.678057142857</v>
      </c>
      <c r="G21" s="11"/>
      <c r="H21" s="11"/>
      <c r="I21" s="11">
        <v>441522.38159999996</v>
      </c>
    </row>
    <row r="22" spans="1:9">
      <c r="A22" s="10" t="s">
        <v>171</v>
      </c>
      <c r="B22" s="11">
        <v>31591.387542857141</v>
      </c>
      <c r="C22" s="11"/>
      <c r="D22" s="11">
        <v>39899.68971428572</v>
      </c>
      <c r="E22" s="11">
        <v>7391.2464</v>
      </c>
      <c r="F22" s="11">
        <v>3989.9602285714291</v>
      </c>
      <c r="G22" s="11"/>
      <c r="H22" s="11"/>
      <c r="I22" s="11">
        <v>82872.283885714307</v>
      </c>
    </row>
    <row r="23" spans="1:9">
      <c r="A23" s="10" t="s">
        <v>172</v>
      </c>
      <c r="B23" s="11"/>
      <c r="C23" s="11"/>
      <c r="D23" s="11"/>
      <c r="E23" s="11"/>
      <c r="F23" s="11">
        <v>43589.80491428572</v>
      </c>
      <c r="G23" s="11"/>
      <c r="H23" s="11"/>
      <c r="I23" s="11">
        <v>43589.80491428572</v>
      </c>
    </row>
    <row r="24" spans="1:9">
      <c r="A24" s="10" t="s">
        <v>173</v>
      </c>
      <c r="B24" s="11">
        <v>35687.25874285715</v>
      </c>
      <c r="C24" s="11">
        <v>16023.821142857145</v>
      </c>
      <c r="D24" s="11">
        <v>31549.771542857143</v>
      </c>
      <c r="E24" s="11">
        <v>43638.712457142858</v>
      </c>
      <c r="F24" s="11">
        <v>43569.119314285716</v>
      </c>
      <c r="G24" s="11"/>
      <c r="H24" s="11"/>
      <c r="I24" s="11">
        <v>170468.6832</v>
      </c>
    </row>
    <row r="25" spans="1:9">
      <c r="A25" s="10" t="s">
        <v>174</v>
      </c>
      <c r="B25" s="11">
        <v>447775.12</v>
      </c>
      <c r="C25" s="11">
        <v>397341</v>
      </c>
      <c r="D25" s="11">
        <v>575405</v>
      </c>
      <c r="E25" s="11">
        <v>27848</v>
      </c>
      <c r="F25" s="11">
        <v>14650</v>
      </c>
      <c r="G25" s="11"/>
      <c r="H25" s="11"/>
      <c r="I25" s="11">
        <v>1463019.12</v>
      </c>
    </row>
    <row r="26" spans="1:9">
      <c r="A26" s="10" t="s">
        <v>175</v>
      </c>
      <c r="B26" s="11">
        <v>59664.859199999999</v>
      </c>
      <c r="C26" s="11">
        <v>104183.9249142857</v>
      </c>
      <c r="D26" s="11">
        <v>160935.41931428568</v>
      </c>
      <c r="E26" s="11">
        <v>3635.4198857142856</v>
      </c>
      <c r="F26" s="11">
        <v>3110.8134857142854</v>
      </c>
      <c r="G26" s="11"/>
      <c r="H26" s="11"/>
      <c r="I26" s="11">
        <v>331530.43679999991</v>
      </c>
    </row>
    <row r="27" spans="1:9">
      <c r="A27" s="10" t="s">
        <v>176</v>
      </c>
      <c r="B27" s="11">
        <v>6338.5714285714294</v>
      </c>
      <c r="C27" s="11"/>
      <c r="D27" s="11">
        <v>3745.7372571428573</v>
      </c>
      <c r="E27" s="11"/>
      <c r="F27" s="11"/>
      <c r="G27" s="11"/>
      <c r="H27" s="11"/>
      <c r="I27" s="11">
        <v>10084.308685714286</v>
      </c>
    </row>
    <row r="28" spans="1:9">
      <c r="A28" s="10" t="s">
        <v>23</v>
      </c>
      <c r="B28" s="11">
        <v>234713.97771428575</v>
      </c>
      <c r="C28" s="11">
        <v>294229.9110857143</v>
      </c>
      <c r="D28" s="11">
        <v>367166.65474285709</v>
      </c>
      <c r="E28" s="11">
        <v>30466.444114285714</v>
      </c>
      <c r="F28" s="11"/>
      <c r="G28" s="11"/>
      <c r="H28" s="11"/>
      <c r="I28" s="11">
        <v>926576.98765714292</v>
      </c>
    </row>
    <row r="29" spans="1:9">
      <c r="A29" s="10" t="s">
        <v>177</v>
      </c>
      <c r="B29" s="11">
        <v>10634.164457142859</v>
      </c>
      <c r="C29" s="11">
        <v>23175.198514285716</v>
      </c>
      <c r="D29" s="11"/>
      <c r="E29" s="11"/>
      <c r="F29" s="11"/>
      <c r="G29" s="11"/>
      <c r="H29" s="11"/>
      <c r="I29" s="11">
        <v>33809.362971428578</v>
      </c>
    </row>
    <row r="30" spans="1:9">
      <c r="A30" s="10" t="s">
        <v>178</v>
      </c>
      <c r="B30" s="11"/>
      <c r="C30" s="11">
        <v>6120</v>
      </c>
      <c r="D30" s="11"/>
      <c r="E30" s="11">
        <v>1748.5714285714284</v>
      </c>
      <c r="F30" s="11"/>
      <c r="G30" s="11"/>
      <c r="H30" s="11"/>
      <c r="I30" s="11">
        <v>7868.5714285714284</v>
      </c>
    </row>
    <row r="31" spans="1:9">
      <c r="A31" s="10" t="s">
        <v>179</v>
      </c>
      <c r="B31" s="11"/>
      <c r="C31" s="11"/>
      <c r="D31" s="11">
        <v>151358.87828571428</v>
      </c>
      <c r="E31" s="11">
        <v>26205.770057142858</v>
      </c>
      <c r="F31" s="11">
        <v>10635.213600000001</v>
      </c>
      <c r="G31" s="11"/>
      <c r="H31" s="11"/>
      <c r="I31" s="11">
        <v>188199.86194285713</v>
      </c>
    </row>
    <row r="32" spans="1:9">
      <c r="A32" s="10" t="s">
        <v>180</v>
      </c>
      <c r="B32" s="11">
        <v>-677269.99694596068</v>
      </c>
      <c r="C32" s="11">
        <v>-351756.69926168042</v>
      </c>
      <c r="D32" s="11"/>
      <c r="E32" s="11"/>
      <c r="F32" s="11"/>
      <c r="G32" s="11"/>
      <c r="H32" s="11">
        <v>874672.69177649496</v>
      </c>
      <c r="I32" s="11">
        <v>-154354.0044311462</v>
      </c>
    </row>
    <row r="33" spans="1:9">
      <c r="A33" s="10" t="s">
        <v>181</v>
      </c>
      <c r="B33" s="11">
        <v>-99400</v>
      </c>
      <c r="C33" s="11">
        <v>-54600</v>
      </c>
      <c r="D33" s="11"/>
      <c r="E33" s="11"/>
      <c r="F33" s="11"/>
      <c r="G33" s="11"/>
      <c r="H33" s="11">
        <v>154000</v>
      </c>
      <c r="I33" s="11">
        <v>0</v>
      </c>
    </row>
    <row r="34" spans="1:9">
      <c r="A34" s="12" t="s">
        <v>182</v>
      </c>
      <c r="B34" s="13">
        <v>389975.44868571428</v>
      </c>
      <c r="C34" s="13">
        <v>1059209.7571428572</v>
      </c>
      <c r="D34" s="13">
        <v>206596.69577142858</v>
      </c>
      <c r="E34" s="13">
        <v>64038.525942857137</v>
      </c>
      <c r="F34" s="13">
        <v>1529865.4733714284</v>
      </c>
      <c r="G34" s="13"/>
      <c r="H34" s="13"/>
      <c r="I34" s="13">
        <v>3249685.9009142858</v>
      </c>
    </row>
    <row r="35" spans="1:9">
      <c r="A35" s="14" t="s">
        <v>183</v>
      </c>
      <c r="B35" s="15">
        <v>14692.371428571429</v>
      </c>
      <c r="C35" s="15">
        <v>19103.142857142855</v>
      </c>
      <c r="D35" s="15"/>
      <c r="E35" s="15"/>
      <c r="F35" s="15"/>
      <c r="G35" s="15"/>
      <c r="H35" s="15"/>
      <c r="I35" s="15">
        <v>33795.514285714286</v>
      </c>
    </row>
    <row r="36" spans="1:9">
      <c r="A36" s="14" t="s">
        <v>184</v>
      </c>
      <c r="B36" s="15">
        <v>15821.948571428573</v>
      </c>
      <c r="C36" s="15">
        <v>3936.0342857142855</v>
      </c>
      <c r="D36" s="15"/>
      <c r="E36" s="15"/>
      <c r="F36" s="15"/>
      <c r="G36" s="15"/>
      <c r="H36" s="15"/>
      <c r="I36" s="15">
        <v>19757.982857142859</v>
      </c>
    </row>
    <row r="37" spans="1:9">
      <c r="A37" s="14" t="s">
        <v>185</v>
      </c>
      <c r="B37" s="15">
        <v>14616.483428571428</v>
      </c>
      <c r="C37" s="15">
        <v>4720.2685714285717</v>
      </c>
      <c r="D37" s="15"/>
      <c r="E37" s="15"/>
      <c r="F37" s="15"/>
      <c r="G37" s="15"/>
      <c r="H37" s="15"/>
      <c r="I37" s="15">
        <v>19336.752</v>
      </c>
    </row>
    <row r="38" spans="1:9">
      <c r="A38" s="14" t="s">
        <v>186</v>
      </c>
      <c r="B38" s="15"/>
      <c r="C38" s="15"/>
      <c r="D38" s="15">
        <v>1199.52</v>
      </c>
      <c r="E38" s="15"/>
      <c r="F38" s="15"/>
      <c r="G38" s="15"/>
      <c r="H38" s="15"/>
      <c r="I38" s="15">
        <v>1199.52</v>
      </c>
    </row>
    <row r="39" spans="1:9">
      <c r="A39" s="14" t="s">
        <v>187</v>
      </c>
      <c r="B39" s="15"/>
      <c r="C39" s="15">
        <v>0</v>
      </c>
      <c r="D39" s="15"/>
      <c r="E39" s="15"/>
      <c r="F39" s="15"/>
      <c r="G39" s="15"/>
      <c r="H39" s="15"/>
      <c r="I39" s="15">
        <v>0</v>
      </c>
    </row>
    <row r="40" spans="1:9">
      <c r="A40" s="14" t="s">
        <v>188</v>
      </c>
      <c r="B40" s="15"/>
      <c r="C40" s="15"/>
      <c r="D40" s="15">
        <v>51100.880914285706</v>
      </c>
      <c r="E40" s="15"/>
      <c r="F40" s="15"/>
      <c r="G40" s="15"/>
      <c r="H40" s="15"/>
      <c r="I40" s="15">
        <v>51100.880914285706</v>
      </c>
    </row>
    <row r="41" spans="1:9">
      <c r="A41" s="14" t="s">
        <v>26</v>
      </c>
      <c r="B41" s="15"/>
      <c r="C41" s="15">
        <v>0</v>
      </c>
      <c r="D41" s="15"/>
      <c r="E41" s="15"/>
      <c r="F41" s="15"/>
      <c r="G41" s="15"/>
      <c r="H41" s="15"/>
      <c r="I41" s="15">
        <v>0</v>
      </c>
    </row>
    <row r="42" spans="1:9">
      <c r="A42" s="14" t="s">
        <v>189</v>
      </c>
      <c r="B42" s="15"/>
      <c r="C42" s="15"/>
      <c r="D42" s="15"/>
      <c r="E42" s="15"/>
      <c r="F42" s="15">
        <v>307297.47497142851</v>
      </c>
      <c r="G42" s="15"/>
      <c r="H42" s="15"/>
      <c r="I42" s="15">
        <v>307297.47497142851</v>
      </c>
    </row>
    <row r="43" spans="1:9">
      <c r="A43" s="14" t="s">
        <v>42</v>
      </c>
      <c r="B43" s="15"/>
      <c r="C43" s="15"/>
      <c r="D43" s="15"/>
      <c r="E43" s="15"/>
      <c r="F43" s="15">
        <v>1000000</v>
      </c>
      <c r="G43" s="15"/>
      <c r="H43" s="15"/>
      <c r="I43" s="15">
        <v>1000000</v>
      </c>
    </row>
    <row r="44" spans="1:9">
      <c r="A44" s="14" t="s">
        <v>190</v>
      </c>
      <c r="B44" s="15">
        <v>145617.54</v>
      </c>
      <c r="C44" s="15">
        <v>31450.311428571429</v>
      </c>
      <c r="D44" s="15">
        <v>48038.931428571428</v>
      </c>
      <c r="E44" s="15"/>
      <c r="F44" s="15">
        <v>220377.98262857142</v>
      </c>
      <c r="G44" s="15"/>
      <c r="H44" s="15"/>
      <c r="I44" s="15">
        <v>445484.76548571431</v>
      </c>
    </row>
    <row r="45" spans="1:9">
      <c r="A45" s="14" t="s">
        <v>191</v>
      </c>
      <c r="B45" s="15"/>
      <c r="C45" s="15"/>
      <c r="D45" s="15">
        <v>106257.36342857144</v>
      </c>
      <c r="E45" s="15">
        <v>64038.525942857137</v>
      </c>
      <c r="F45" s="15"/>
      <c r="G45" s="15"/>
      <c r="H45" s="15"/>
      <c r="I45" s="15">
        <v>170295.88937142858</v>
      </c>
    </row>
    <row r="46" spans="1:9">
      <c r="A46" s="14" t="s">
        <v>192</v>
      </c>
      <c r="B46" s="15">
        <v>52601.46994285714</v>
      </c>
      <c r="C46" s="15"/>
      <c r="D46" s="15"/>
      <c r="E46" s="15"/>
      <c r="F46" s="15">
        <v>2190.0157714285715</v>
      </c>
      <c r="G46" s="15"/>
      <c r="H46" s="15"/>
      <c r="I46" s="15">
        <v>54791.485714285714</v>
      </c>
    </row>
    <row r="47" spans="1:9">
      <c r="A47" s="14" t="s">
        <v>193</v>
      </c>
      <c r="B47" s="15">
        <v>111345.12925714286</v>
      </c>
      <c r="C47" s="15"/>
      <c r="D47" s="15"/>
      <c r="E47" s="15"/>
      <c r="F47" s="15"/>
      <c r="G47" s="15"/>
      <c r="H47" s="15"/>
      <c r="I47" s="15">
        <v>111345.12925714286</v>
      </c>
    </row>
    <row r="48" spans="1:9">
      <c r="A48" s="14" t="s">
        <v>194</v>
      </c>
      <c r="B48" s="15">
        <v>4184.0341714285705</v>
      </c>
      <c r="C48" s="15"/>
      <c r="D48" s="15"/>
      <c r="E48" s="15"/>
      <c r="F48" s="15"/>
      <c r="G48" s="15"/>
      <c r="H48" s="15"/>
      <c r="I48" s="15">
        <v>4184.0341714285705</v>
      </c>
    </row>
    <row r="49" spans="1:9">
      <c r="A49" s="14" t="s">
        <v>195</v>
      </c>
      <c r="B49" s="15"/>
      <c r="C49" s="15">
        <v>1000000</v>
      </c>
      <c r="D49" s="15"/>
      <c r="E49" s="15"/>
      <c r="F49" s="15"/>
      <c r="G49" s="15"/>
      <c r="H49" s="15"/>
      <c r="I49" s="15">
        <v>1000000</v>
      </c>
    </row>
    <row r="50" spans="1:9">
      <c r="A50" s="14" t="s">
        <v>196</v>
      </c>
      <c r="B50" s="15">
        <v>31096.471885714287</v>
      </c>
      <c r="C50" s="15"/>
      <c r="D50" s="15"/>
      <c r="E50" s="15"/>
      <c r="F50" s="15"/>
      <c r="G50" s="15"/>
      <c r="H50" s="15"/>
      <c r="I50" s="15">
        <v>31096.471885714287</v>
      </c>
    </row>
    <row r="51" spans="1:9">
      <c r="A51" t="s">
        <v>152</v>
      </c>
      <c r="B51" s="2"/>
      <c r="C51" s="2"/>
      <c r="D51" s="2"/>
      <c r="E51" s="2"/>
      <c r="F51" s="2"/>
      <c r="G51" s="2"/>
      <c r="H51" s="2"/>
      <c r="I51" s="2"/>
    </row>
    <row r="52" spans="1:9">
      <c r="A52" t="s">
        <v>152</v>
      </c>
      <c r="B52" s="2"/>
      <c r="C52" s="2"/>
      <c r="D52" s="2"/>
      <c r="E52" s="2"/>
      <c r="F52" s="2"/>
      <c r="G52" s="2"/>
      <c r="H52" s="2"/>
      <c r="I52" s="2"/>
    </row>
    <row r="53" spans="1:9">
      <c r="A53" t="s">
        <v>154</v>
      </c>
      <c r="B53" s="2">
        <v>6716433.14394747</v>
      </c>
      <c r="C53" s="2">
        <v>6158499.3971664216</v>
      </c>
      <c r="D53" s="2">
        <v>8481561.8730834965</v>
      </c>
      <c r="E53" s="2">
        <v>1734059.8176755302</v>
      </c>
      <c r="F53" s="2">
        <v>2912395.7560142856</v>
      </c>
      <c r="G53" s="2"/>
      <c r="H53" s="2">
        <v>1028672.691776495</v>
      </c>
      <c r="I53" s="2">
        <v>27031622.679663699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A112B-4EE3-4ED8-B978-F4E6D92C78AC}">
  <dimension ref="A1:F57"/>
  <sheetViews>
    <sheetView topLeftCell="A49" workbookViewId="0">
      <selection activeCell="E55" sqref="E55"/>
    </sheetView>
  </sheetViews>
  <sheetFormatPr defaultRowHeight="15"/>
  <cols>
    <col min="1" max="1" width="26.28515625" bestFit="1" customWidth="1"/>
    <col min="4" max="4" width="25.28515625" bestFit="1" customWidth="1"/>
    <col min="5" max="5" width="15.28515625" bestFit="1" customWidth="1"/>
    <col min="6" max="6" width="18.7109375" customWidth="1"/>
  </cols>
  <sheetData>
    <row r="1" spans="1:5">
      <c r="A1" s="17" t="s">
        <v>52</v>
      </c>
      <c r="B1" s="16"/>
      <c r="C1" s="18" t="s">
        <v>6</v>
      </c>
    </row>
    <row r="2" spans="1:5">
      <c r="A2" s="17" t="s">
        <v>53</v>
      </c>
      <c r="B2" s="16"/>
      <c r="C2" s="18" t="s">
        <v>54</v>
      </c>
      <c r="D2" s="18" t="s">
        <v>55</v>
      </c>
      <c r="E2" s="18" t="s">
        <v>56</v>
      </c>
    </row>
    <row r="3" spans="1:5">
      <c r="A3" t="s">
        <v>57</v>
      </c>
      <c r="C3" s="19"/>
      <c r="D3" s="19"/>
      <c r="E3" s="19"/>
    </row>
    <row r="4" spans="1:5">
      <c r="A4" t="s">
        <v>58</v>
      </c>
      <c r="C4" s="20">
        <v>115</v>
      </c>
      <c r="D4" s="21">
        <v>57110</v>
      </c>
      <c r="E4" s="21">
        <f>SUM(C4*D4)</f>
        <v>6567650</v>
      </c>
    </row>
    <row r="5" spans="1:5">
      <c r="A5" t="s">
        <v>59</v>
      </c>
      <c r="C5" s="20">
        <v>5</v>
      </c>
      <c r="D5" s="21">
        <v>55000</v>
      </c>
      <c r="E5" s="21">
        <f t="shared" ref="E5:E18" si="0">SUM(C5*D5)</f>
        <v>275000</v>
      </c>
    </row>
    <row r="6" spans="1:5">
      <c r="A6" t="s">
        <v>60</v>
      </c>
      <c r="C6" s="20">
        <v>6</v>
      </c>
      <c r="D6" s="21">
        <v>34709</v>
      </c>
      <c r="E6" s="21">
        <f t="shared" si="0"/>
        <v>208254</v>
      </c>
    </row>
    <row r="7" spans="1:5">
      <c r="A7" t="s">
        <v>61</v>
      </c>
      <c r="C7" s="20">
        <v>18</v>
      </c>
      <c r="D7" s="21">
        <v>38820</v>
      </c>
      <c r="E7" s="21">
        <f t="shared" si="0"/>
        <v>698760</v>
      </c>
    </row>
    <row r="8" spans="1:5">
      <c r="A8" t="s">
        <v>62</v>
      </c>
      <c r="C8" s="20">
        <v>12</v>
      </c>
      <c r="D8" s="21">
        <v>63881</v>
      </c>
      <c r="E8" s="21">
        <f t="shared" si="0"/>
        <v>766572</v>
      </c>
    </row>
    <row r="9" spans="1:5">
      <c r="A9" t="s">
        <v>63</v>
      </c>
      <c r="C9" s="20">
        <v>5</v>
      </c>
      <c r="D9" s="21">
        <v>52000</v>
      </c>
      <c r="E9" s="21">
        <f t="shared" si="0"/>
        <v>260000</v>
      </c>
    </row>
    <row r="10" spans="1:5">
      <c r="A10" t="s">
        <v>64</v>
      </c>
      <c r="C10" s="20">
        <v>7</v>
      </c>
      <c r="D10" s="21">
        <v>85590</v>
      </c>
      <c r="E10" s="21">
        <f t="shared" si="0"/>
        <v>599130</v>
      </c>
    </row>
    <row r="11" spans="1:5">
      <c r="A11" t="s">
        <v>45</v>
      </c>
      <c r="C11" s="20"/>
      <c r="D11" s="21">
        <v>0</v>
      </c>
      <c r="E11" s="21">
        <f t="shared" si="0"/>
        <v>0</v>
      </c>
    </row>
    <row r="12" spans="1:5">
      <c r="C12" s="20"/>
      <c r="D12" s="21">
        <v>0</v>
      </c>
      <c r="E12" s="21">
        <f t="shared" si="0"/>
        <v>0</v>
      </c>
    </row>
    <row r="13" spans="1:5">
      <c r="C13" s="20"/>
      <c r="D13" s="21">
        <v>0</v>
      </c>
      <c r="E13" s="21">
        <f t="shared" si="0"/>
        <v>0</v>
      </c>
    </row>
    <row r="14" spans="1:5">
      <c r="C14" s="20"/>
      <c r="D14" s="21">
        <v>0</v>
      </c>
      <c r="E14" s="21">
        <f t="shared" si="0"/>
        <v>0</v>
      </c>
    </row>
    <row r="15" spans="1:5">
      <c r="C15" s="20"/>
      <c r="D15" s="21">
        <v>0</v>
      </c>
      <c r="E15" s="21">
        <f t="shared" si="0"/>
        <v>0</v>
      </c>
    </row>
    <row r="16" spans="1:5">
      <c r="C16" s="20"/>
      <c r="D16" s="21">
        <v>0</v>
      </c>
      <c r="E16" s="21">
        <f t="shared" si="0"/>
        <v>0</v>
      </c>
    </row>
    <row r="17" spans="1:5">
      <c r="C17" s="20"/>
      <c r="D17" s="21">
        <v>0</v>
      </c>
      <c r="E17" s="21">
        <f t="shared" si="0"/>
        <v>0</v>
      </c>
    </row>
    <row r="18" spans="1:5">
      <c r="A18" s="6"/>
      <c r="B18" s="6"/>
      <c r="C18" s="25"/>
      <c r="D18" s="26">
        <v>0</v>
      </c>
      <c r="E18" s="26">
        <f t="shared" si="0"/>
        <v>0</v>
      </c>
    </row>
    <row r="19" spans="1:5">
      <c r="A19" t="s">
        <v>65</v>
      </c>
      <c r="C19" s="20">
        <f>SUM(C4:C18)</f>
        <v>168</v>
      </c>
      <c r="D19" s="21"/>
      <c r="E19" s="21">
        <f>SUM(E4:E18)</f>
        <v>9375366</v>
      </c>
    </row>
    <row r="21" spans="1:5">
      <c r="A21" t="s">
        <v>66</v>
      </c>
      <c r="C21" s="19"/>
      <c r="D21" s="19"/>
      <c r="E21" s="19"/>
    </row>
    <row r="22" spans="1:5">
      <c r="A22" t="s">
        <v>67</v>
      </c>
      <c r="C22" s="20">
        <v>2</v>
      </c>
      <c r="D22" s="21">
        <v>175000</v>
      </c>
      <c r="E22" s="21">
        <f>SUM(C22*D22)</f>
        <v>350000</v>
      </c>
    </row>
    <row r="23" spans="1:5">
      <c r="A23" t="s">
        <v>68</v>
      </c>
      <c r="C23" s="20">
        <v>1</v>
      </c>
      <c r="D23" s="21">
        <v>120000</v>
      </c>
      <c r="E23" s="21">
        <f t="shared" ref="E23:E36" si="1">SUM(C23*D23)</f>
        <v>120000</v>
      </c>
    </row>
    <row r="24" spans="1:5">
      <c r="A24" t="s">
        <v>69</v>
      </c>
      <c r="C24" s="20">
        <v>2</v>
      </c>
      <c r="D24" s="21">
        <v>161311</v>
      </c>
      <c r="E24" s="21">
        <f t="shared" si="1"/>
        <v>322622</v>
      </c>
    </row>
    <row r="25" spans="1:5">
      <c r="A25" t="s">
        <v>70</v>
      </c>
      <c r="C25" s="20">
        <v>7</v>
      </c>
      <c r="D25" s="21">
        <v>96402</v>
      </c>
      <c r="E25" s="21">
        <f t="shared" si="1"/>
        <v>674814</v>
      </c>
    </row>
    <row r="26" spans="1:5">
      <c r="A26" t="s">
        <v>71</v>
      </c>
      <c r="C26" s="20">
        <v>3</v>
      </c>
      <c r="D26" s="21">
        <v>80902</v>
      </c>
      <c r="E26" s="21">
        <f t="shared" si="1"/>
        <v>242706</v>
      </c>
    </row>
    <row r="27" spans="1:5">
      <c r="A27" t="s">
        <v>72</v>
      </c>
      <c r="C27" s="20">
        <v>6</v>
      </c>
      <c r="D27" s="21">
        <v>54000</v>
      </c>
      <c r="E27" s="21">
        <f t="shared" si="1"/>
        <v>324000</v>
      </c>
    </row>
    <row r="28" spans="1:5">
      <c r="A28" t="s">
        <v>73</v>
      </c>
      <c r="C28" s="20">
        <v>4</v>
      </c>
      <c r="D28" s="21">
        <v>45650</v>
      </c>
      <c r="E28" s="21">
        <f t="shared" si="1"/>
        <v>182600</v>
      </c>
    </row>
    <row r="29" spans="1:5">
      <c r="A29" t="s">
        <v>74</v>
      </c>
      <c r="C29" s="20">
        <v>3</v>
      </c>
      <c r="D29" s="21">
        <v>58000</v>
      </c>
      <c r="E29" s="21">
        <f t="shared" si="1"/>
        <v>174000</v>
      </c>
    </row>
    <row r="30" spans="1:5">
      <c r="C30" s="20"/>
      <c r="D30" s="21">
        <v>0</v>
      </c>
      <c r="E30" s="21">
        <f t="shared" si="1"/>
        <v>0</v>
      </c>
    </row>
    <row r="31" spans="1:5">
      <c r="C31" s="20"/>
      <c r="D31" s="21">
        <v>0</v>
      </c>
      <c r="E31" s="21">
        <f t="shared" si="1"/>
        <v>0</v>
      </c>
    </row>
    <row r="32" spans="1:5">
      <c r="C32" s="20"/>
      <c r="D32" s="21">
        <v>0</v>
      </c>
      <c r="E32" s="21">
        <f t="shared" si="1"/>
        <v>0</v>
      </c>
    </row>
    <row r="33" spans="1:6">
      <c r="C33" s="20"/>
      <c r="D33" s="21">
        <v>0</v>
      </c>
      <c r="E33" s="21">
        <f t="shared" si="1"/>
        <v>0</v>
      </c>
    </row>
    <row r="34" spans="1:6">
      <c r="C34" s="20"/>
      <c r="D34" s="21">
        <v>0</v>
      </c>
      <c r="E34" s="21">
        <f t="shared" si="1"/>
        <v>0</v>
      </c>
    </row>
    <row r="35" spans="1:6">
      <c r="C35" s="20"/>
      <c r="D35" s="21">
        <v>0</v>
      </c>
      <c r="E35" s="21">
        <f t="shared" si="1"/>
        <v>0</v>
      </c>
    </row>
    <row r="36" spans="1:6">
      <c r="A36" s="6"/>
      <c r="B36" s="6"/>
      <c r="C36" s="25"/>
      <c r="D36" s="26">
        <v>0</v>
      </c>
      <c r="E36" s="26">
        <f t="shared" si="1"/>
        <v>0</v>
      </c>
    </row>
    <row r="37" spans="1:6">
      <c r="A37" t="s">
        <v>75</v>
      </c>
      <c r="C37" s="20">
        <f>SUM(C22:C36)</f>
        <v>28</v>
      </c>
      <c r="D37" s="21"/>
      <c r="E37" s="21">
        <v>2390742</v>
      </c>
      <c r="F37" s="27"/>
    </row>
    <row r="38" spans="1:6">
      <c r="C38" s="20"/>
      <c r="D38" s="21"/>
      <c r="E38" s="20"/>
      <c r="F38" s="27"/>
    </row>
    <row r="39" spans="1:6">
      <c r="C39" s="18"/>
      <c r="D39" s="18" t="s">
        <v>76</v>
      </c>
      <c r="E39" s="18" t="s">
        <v>56</v>
      </c>
      <c r="F39" s="27"/>
    </row>
    <row r="40" spans="1:6">
      <c r="A40" t="s">
        <v>77</v>
      </c>
      <c r="F40" s="27"/>
    </row>
    <row r="41" spans="1:6">
      <c r="A41" t="s">
        <v>78</v>
      </c>
      <c r="D41" s="21">
        <v>0</v>
      </c>
      <c r="E41" s="21">
        <v>0</v>
      </c>
      <c r="F41" s="27"/>
    </row>
    <row r="42" spans="1:6">
      <c r="A42" t="s">
        <v>79</v>
      </c>
      <c r="D42" s="21">
        <v>0</v>
      </c>
      <c r="E42" s="21">
        <v>0</v>
      </c>
      <c r="F42" s="27"/>
    </row>
    <row r="43" spans="1:6">
      <c r="A43" t="s">
        <v>80</v>
      </c>
      <c r="D43" s="22">
        <v>6.2E-2</v>
      </c>
      <c r="E43" s="21">
        <f>D43*(E37+E19)</f>
        <v>729498.696</v>
      </c>
      <c r="F43" s="27" t="s">
        <v>45</v>
      </c>
    </row>
    <row r="44" spans="1:6">
      <c r="A44" t="s">
        <v>81</v>
      </c>
      <c r="D44" s="23">
        <v>1.4500000000000001E-2</v>
      </c>
      <c r="E44" s="21">
        <f>D44*(E37+E19)</f>
        <v>170608.56600000002</v>
      </c>
      <c r="F44" s="27"/>
    </row>
    <row r="45" spans="1:6">
      <c r="A45" t="s">
        <v>82</v>
      </c>
      <c r="D45" s="22">
        <v>2.5000000000000001E-2</v>
      </c>
      <c r="E45" s="21">
        <f>D45*(E37+E19)</f>
        <v>294152.7</v>
      </c>
      <c r="F45" s="27"/>
    </row>
    <row r="46" spans="1:6">
      <c r="D46" s="22"/>
      <c r="E46" s="21"/>
      <c r="F46" s="27"/>
    </row>
    <row r="47" spans="1:6">
      <c r="A47" t="s">
        <v>83</v>
      </c>
      <c r="D47" s="21"/>
      <c r="E47" s="21">
        <v>0</v>
      </c>
    </row>
    <row r="48" spans="1:6">
      <c r="C48" s="20"/>
      <c r="D48" s="20"/>
      <c r="E48" s="21"/>
    </row>
    <row r="49" spans="1:5">
      <c r="C49" s="20"/>
      <c r="D49" s="20"/>
      <c r="E49" s="21"/>
    </row>
    <row r="50" spans="1:5">
      <c r="C50" s="20"/>
      <c r="D50" s="20"/>
      <c r="E50" s="21"/>
    </row>
    <row r="51" spans="1:5">
      <c r="A51" t="s">
        <v>84</v>
      </c>
      <c r="C51" t="s">
        <v>6</v>
      </c>
    </row>
    <row r="52" spans="1:5">
      <c r="B52" s="24"/>
      <c r="C52" t="s">
        <v>85</v>
      </c>
      <c r="D52" s="24"/>
      <c r="E52" s="20">
        <f>SUM(C37,C19)</f>
        <v>196</v>
      </c>
    </row>
    <row r="53" spans="1:5">
      <c r="C53" t="s">
        <v>86</v>
      </c>
      <c r="D53" s="3"/>
      <c r="E53" s="21">
        <f>SUM(E37,E19)</f>
        <v>11766108</v>
      </c>
    </row>
    <row r="54" spans="1:5">
      <c r="C54" t="s">
        <v>87</v>
      </c>
      <c r="E54" s="21">
        <f>SUM(E41:E47)</f>
        <v>1194259.9620000001</v>
      </c>
    </row>
    <row r="55" spans="1:5">
      <c r="C55" t="s">
        <v>88</v>
      </c>
      <c r="E55" s="21">
        <f>SUM(E53:E54)</f>
        <v>12960367.961999999</v>
      </c>
    </row>
    <row r="56" spans="1:5">
      <c r="C56" t="s">
        <v>89</v>
      </c>
      <c r="D56" s="20"/>
      <c r="E56" s="20">
        <v>0</v>
      </c>
    </row>
    <row r="57" spans="1:5">
      <c r="C57" t="s">
        <v>90</v>
      </c>
      <c r="D57" s="20"/>
      <c r="E57" s="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 Warrington</dc:creator>
  <cp:keywords/>
  <dc:description/>
  <cp:lastModifiedBy>Abston, Bridgett</cp:lastModifiedBy>
  <cp:revision/>
  <dcterms:created xsi:type="dcterms:W3CDTF">2025-03-31T17:33:29Z</dcterms:created>
  <dcterms:modified xsi:type="dcterms:W3CDTF">2025-04-04T14:16:59Z</dcterms:modified>
  <cp:category/>
  <cp:contentStatus/>
</cp:coreProperties>
</file>