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codeName="ThisWorkbook"/>
  <mc:AlternateContent xmlns:mc="http://schemas.openxmlformats.org/markup-compatibility/2006">
    <mc:Choice Requires="x15">
      <x15ac:absPath xmlns:x15ac="http://schemas.microsoft.com/office/spreadsheetml/2010/11/ac" url="S:\ICSB Applications\_Renewal\05_Fall 2020\HIAT\"/>
    </mc:Choice>
  </mc:AlternateContent>
  <xr:revisionPtr revIDLastSave="0" documentId="8_{4509C4A6-CFE0-4BC2-9122-0F826B852269}" xr6:coauthVersionLast="45" xr6:coauthVersionMax="45" xr10:uidLastSave="{00000000-0000-0000-0000-000000000000}"/>
  <bookViews>
    <workbookView xWindow="-120" yWindow="-120" windowWidth="29040" windowHeight="17640" tabRatio="911" activeTab="1" xr2:uid="{00000000-000D-0000-FFFF-FFFF00000000}"/>
  </bookViews>
  <sheets>
    <sheet name="1. Instructions" sheetId="22" r:id="rId1"/>
    <sheet name="2. Enrollment Projections" sheetId="1" r:id="rId2"/>
    <sheet name="3. Staffing Plan" sheetId="23" r:id="rId3"/>
    <sheet name="4. 5-Year Budget" sheetId="16" r:id="rId4"/>
    <sheet name="CONTROL" sheetId="24" state="veryHidden" r:id="rId5"/>
  </sheets>
  <definedNames>
    <definedName name="CorpList">CONTROL!$C$18:$C$307</definedName>
    <definedName name="Schools">CONTROL!$C$17:$D$307</definedName>
  </definedNames>
  <calcPr calcId="191029" concurrentCalc="0"/>
  <customWorkbookViews>
    <customWorkbookView name="Matthew Shaw - Personal View" guid="{4EB07C87-A9F4-403E-8C0F-324FFB87E1FF}" mergeInterval="0" personalView="1" maximized="1" windowWidth="1676" windowHeight="825" tabRatio="911" activeSheetId="3"/>
    <customWorkbookView name="ca10146 - Personal View" guid="{78108F25-E067-40AC-B09B-6FE5187CDB4B}" mergeInterval="0" personalView="1" maximized="1" xWindow="1" yWindow="1" windowWidth="1276" windowHeight="803" tabRatio="9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0" i="16" l="1"/>
  <c r="J160" i="16"/>
  <c r="I160" i="16"/>
  <c r="H160" i="16"/>
  <c r="G160" i="16"/>
  <c r="F28" i="16"/>
  <c r="F40" i="16"/>
  <c r="F51" i="16"/>
  <c r="F160" i="16"/>
  <c r="K163" i="16"/>
  <c r="J163" i="16"/>
  <c r="I163" i="16"/>
  <c r="H163" i="16"/>
  <c r="G163" i="16"/>
  <c r="K145" i="16"/>
  <c r="J145" i="16"/>
  <c r="I145" i="16"/>
  <c r="H145" i="16"/>
  <c r="G145" i="16"/>
  <c r="F145" i="16"/>
  <c r="K134" i="16"/>
  <c r="J134" i="16"/>
  <c r="I134" i="16"/>
  <c r="H134" i="16"/>
  <c r="G134" i="16"/>
  <c r="F134" i="16"/>
  <c r="F139" i="16"/>
  <c r="J37" i="1"/>
  <c r="G155" i="24"/>
  <c r="J43" i="1"/>
  <c r="J36" i="1"/>
  <c r="J44" i="1"/>
  <c r="J45" i="1"/>
  <c r="J46" i="1"/>
  <c r="K159" i="16"/>
  <c r="I37" i="1"/>
  <c r="I43" i="1"/>
  <c r="I36" i="1"/>
  <c r="I44" i="1"/>
  <c r="I45" i="1"/>
  <c r="I46" i="1"/>
  <c r="J159" i="16"/>
  <c r="H37" i="1"/>
  <c r="H43" i="1"/>
  <c r="H36" i="1"/>
  <c r="H44" i="1"/>
  <c r="H45" i="1"/>
  <c r="H46" i="1"/>
  <c r="I159" i="16"/>
  <c r="G37" i="1"/>
  <c r="G43" i="1"/>
  <c r="G36" i="1"/>
  <c r="G44" i="1"/>
  <c r="G45" i="1"/>
  <c r="G46" i="1"/>
  <c r="H159" i="16"/>
  <c r="F37" i="1"/>
  <c r="F43" i="1"/>
  <c r="F36" i="1"/>
  <c r="F44" i="1"/>
  <c r="F45" i="1"/>
  <c r="F46" i="1"/>
  <c r="G159" i="16"/>
  <c r="F156" i="16"/>
  <c r="F136" i="16"/>
  <c r="F118" i="16"/>
  <c r="F112" i="16"/>
  <c r="F106" i="16"/>
  <c r="F90" i="16"/>
  <c r="F82" i="16"/>
  <c r="F69" i="16"/>
  <c r="F61" i="16"/>
  <c r="F49" i="16"/>
  <c r="O14" i="23"/>
  <c r="S14" i="23"/>
  <c r="W14" i="23"/>
  <c r="AA14" i="23"/>
  <c r="S15" i="23"/>
  <c r="W15" i="23"/>
  <c r="AA15" i="23"/>
  <c r="AA29" i="23"/>
  <c r="AA47" i="23"/>
  <c r="AC61" i="23"/>
  <c r="AC66" i="23"/>
  <c r="AC65" i="23"/>
  <c r="W29" i="23"/>
  <c r="W47" i="23"/>
  <c r="Y61" i="23"/>
  <c r="Y66" i="23"/>
  <c r="Y65" i="23"/>
  <c r="S29" i="23"/>
  <c r="S47" i="23"/>
  <c r="U61" i="23"/>
  <c r="U66" i="23"/>
  <c r="U65" i="23"/>
  <c r="O29" i="23"/>
  <c r="O47" i="23"/>
  <c r="Q61" i="23"/>
  <c r="Q66" i="23"/>
  <c r="Q65" i="23"/>
  <c r="K29" i="23"/>
  <c r="K47" i="23"/>
  <c r="M61" i="23"/>
  <c r="M66" i="23"/>
  <c r="M65" i="23"/>
  <c r="F47" i="23"/>
  <c r="H46" i="23"/>
  <c r="H45" i="23"/>
  <c r="H44" i="23"/>
  <c r="H43" i="23"/>
  <c r="H42" i="23"/>
  <c r="H41" i="23"/>
  <c r="H40" i="23"/>
  <c r="H39" i="23"/>
  <c r="H38" i="23"/>
  <c r="H37" i="23"/>
  <c r="H36" i="23"/>
  <c r="H35" i="23"/>
  <c r="H34" i="23"/>
  <c r="H33" i="23"/>
  <c r="H32" i="23"/>
  <c r="F29" i="23"/>
  <c r="H51" i="23"/>
  <c r="F88" i="16"/>
  <c r="H28" i="23"/>
  <c r="H27" i="23"/>
  <c r="H26" i="23"/>
  <c r="H25" i="23"/>
  <c r="H24" i="23"/>
  <c r="H23" i="23"/>
  <c r="H22" i="23"/>
  <c r="H21" i="23"/>
  <c r="H20" i="23"/>
  <c r="H19" i="23"/>
  <c r="H18" i="23"/>
  <c r="H17" i="23"/>
  <c r="H16" i="23"/>
  <c r="H15" i="23"/>
  <c r="H14" i="23"/>
  <c r="E36" i="1"/>
  <c r="E44" i="1"/>
  <c r="J20" i="1"/>
  <c r="I20" i="1"/>
  <c r="H20" i="1"/>
  <c r="G20" i="1"/>
  <c r="F20" i="1"/>
  <c r="E20" i="1"/>
  <c r="E37" i="1"/>
  <c r="E43" i="1"/>
  <c r="E8" i="22"/>
  <c r="G8" i="1"/>
  <c r="H52" i="23"/>
  <c r="F89" i="16"/>
  <c r="H65" i="23"/>
  <c r="F84" i="16"/>
  <c r="F87" i="16"/>
  <c r="E5" i="16"/>
  <c r="H47" i="23"/>
  <c r="H29" i="23"/>
  <c r="H61" i="23"/>
  <c r="H66" i="23"/>
  <c r="F4" i="23"/>
  <c r="E45" i="1"/>
  <c r="F159" i="16"/>
  <c r="I40" i="16"/>
  <c r="H40" i="16"/>
  <c r="G40" i="16"/>
  <c r="P35" i="23"/>
  <c r="T35" i="23"/>
  <c r="X35" i="23"/>
  <c r="P16" i="23"/>
  <c r="T16" i="23"/>
  <c r="X16" i="23"/>
  <c r="AB16" i="23"/>
  <c r="J41" i="1"/>
  <c r="I41" i="1"/>
  <c r="H41" i="1"/>
  <c r="G41" i="1"/>
  <c r="F41" i="1"/>
  <c r="G61" i="16"/>
  <c r="G69" i="16"/>
  <c r="G82" i="16"/>
  <c r="M52" i="23"/>
  <c r="G89" i="16"/>
  <c r="M14" i="23"/>
  <c r="M15" i="23"/>
  <c r="M16" i="23"/>
  <c r="M17" i="23"/>
  <c r="M18" i="23"/>
  <c r="M19" i="23"/>
  <c r="M20" i="23"/>
  <c r="M21" i="23"/>
  <c r="M22" i="23"/>
  <c r="M23" i="23"/>
  <c r="M24" i="23"/>
  <c r="M25" i="23"/>
  <c r="M26" i="23"/>
  <c r="M27" i="23"/>
  <c r="M28" i="23"/>
  <c r="M32" i="23"/>
  <c r="M33" i="23"/>
  <c r="M34" i="23"/>
  <c r="M35" i="23"/>
  <c r="M36" i="23"/>
  <c r="M37" i="23"/>
  <c r="M38" i="23"/>
  <c r="M39" i="23"/>
  <c r="M40" i="23"/>
  <c r="M41" i="23"/>
  <c r="M42" i="23"/>
  <c r="M43" i="23"/>
  <c r="M44" i="23"/>
  <c r="M45" i="23"/>
  <c r="M46" i="23"/>
  <c r="J40" i="1"/>
  <c r="I40" i="1"/>
  <c r="H40" i="1"/>
  <c r="G40" i="1"/>
  <c r="F40" i="1"/>
  <c r="J39" i="1"/>
  <c r="I39" i="1"/>
  <c r="H39" i="1"/>
  <c r="G39" i="1"/>
  <c r="F39" i="1"/>
  <c r="T36" i="23"/>
  <c r="X36" i="23"/>
  <c r="AB36" i="23"/>
  <c r="AC36" i="23"/>
  <c r="P32" i="23"/>
  <c r="T32" i="23"/>
  <c r="X32" i="23"/>
  <c r="AB32" i="23"/>
  <c r="AC32" i="23"/>
  <c r="P33" i="23"/>
  <c r="T33" i="23"/>
  <c r="X33" i="23"/>
  <c r="AB33" i="23"/>
  <c r="AC33" i="23"/>
  <c r="P34" i="23"/>
  <c r="T34" i="23"/>
  <c r="X34" i="23"/>
  <c r="AB34" i="23"/>
  <c r="AC34" i="23"/>
  <c r="AB35" i="23"/>
  <c r="AC35" i="23"/>
  <c r="AC37" i="23"/>
  <c r="AC38" i="23"/>
  <c r="AC39" i="23"/>
  <c r="AC40" i="23"/>
  <c r="AC41" i="23"/>
  <c r="AC42" i="23"/>
  <c r="AC43" i="23"/>
  <c r="AC44" i="23"/>
  <c r="AC45" i="23"/>
  <c r="AC46" i="23"/>
  <c r="AC47" i="23"/>
  <c r="Q32" i="23"/>
  <c r="U32" i="23"/>
  <c r="P15" i="23"/>
  <c r="T15" i="23"/>
  <c r="X15" i="23"/>
  <c r="AB15" i="23"/>
  <c r="Q15" i="23"/>
  <c r="U15" i="23"/>
  <c r="AB14" i="23"/>
  <c r="P14" i="23"/>
  <c r="T14" i="23"/>
  <c r="U14" i="23"/>
  <c r="G7" i="1"/>
  <c r="E19" i="24"/>
  <c r="E20" i="24"/>
  <c r="E22" i="24"/>
  <c r="E25" i="24"/>
  <c r="E80" i="24"/>
  <c r="E106" i="24"/>
  <c r="E109" i="24"/>
  <c r="E115" i="24"/>
  <c r="E125" i="24"/>
  <c r="E153" i="24"/>
  <c r="E173" i="24"/>
  <c r="E242" i="24"/>
  <c r="E307" i="24"/>
  <c r="E155" i="24"/>
  <c r="E21" i="24"/>
  <c r="E23" i="24"/>
  <c r="E24" i="24"/>
  <c r="E26" i="24"/>
  <c r="E27" i="24"/>
  <c r="E28" i="24"/>
  <c r="E29" i="24"/>
  <c r="E30" i="24"/>
  <c r="E31" i="24"/>
  <c r="E32" i="24"/>
  <c r="E33" i="24"/>
  <c r="E34" i="24"/>
  <c r="E35" i="24"/>
  <c r="E36" i="24"/>
  <c r="E37" i="24"/>
  <c r="E38" i="24"/>
  <c r="E40" i="24"/>
  <c r="E41" i="24"/>
  <c r="E47" i="24"/>
  <c r="E50" i="24"/>
  <c r="E56" i="24"/>
  <c r="E63" i="24"/>
  <c r="E69" i="24"/>
  <c r="E75" i="24"/>
  <c r="E81" i="24"/>
  <c r="E90" i="24"/>
  <c r="E101" i="24"/>
  <c r="E107" i="24"/>
  <c r="E119" i="24"/>
  <c r="E120" i="24"/>
  <c r="E121" i="24"/>
  <c r="E124" i="24"/>
  <c r="G19" i="24"/>
  <c r="G20" i="24"/>
  <c r="G22" i="24"/>
  <c r="G25" i="24"/>
  <c r="G80" i="24"/>
  <c r="G106" i="24"/>
  <c r="G109" i="24"/>
  <c r="G115" i="24"/>
  <c r="G125" i="24"/>
  <c r="G153" i="24"/>
  <c r="G173" i="24"/>
  <c r="G242" i="24"/>
  <c r="G307" i="24"/>
  <c r="G21" i="24"/>
  <c r="G23" i="24"/>
  <c r="G24" i="24"/>
  <c r="G26" i="24"/>
  <c r="G27" i="24"/>
  <c r="G28" i="24"/>
  <c r="G29" i="24"/>
  <c r="G30" i="24"/>
  <c r="G31" i="24"/>
  <c r="G32" i="24"/>
  <c r="G33" i="24"/>
  <c r="G34" i="24"/>
  <c r="G35" i="24"/>
  <c r="G36" i="24"/>
  <c r="G37" i="24"/>
  <c r="G38" i="24"/>
  <c r="G40" i="24"/>
  <c r="G41" i="24"/>
  <c r="G47" i="24"/>
  <c r="G50" i="24"/>
  <c r="G56" i="24"/>
  <c r="G63" i="24"/>
  <c r="G69" i="24"/>
  <c r="G75" i="24"/>
  <c r="G81" i="24"/>
  <c r="G90" i="24"/>
  <c r="G101" i="24"/>
  <c r="G107" i="24"/>
  <c r="G119" i="24"/>
  <c r="G120" i="24"/>
  <c r="G121" i="24"/>
  <c r="G124" i="24"/>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2" i="24"/>
  <c r="G171" i="24"/>
  <c r="G170" i="24"/>
  <c r="G169" i="24"/>
  <c r="G168" i="24"/>
  <c r="G167" i="24"/>
  <c r="G166" i="24"/>
  <c r="G165" i="24"/>
  <c r="G164" i="24"/>
  <c r="G163" i="24"/>
  <c r="G162" i="24"/>
  <c r="G161" i="24"/>
  <c r="G160" i="24"/>
  <c r="G159" i="24"/>
  <c r="G158" i="24"/>
  <c r="G157" i="24"/>
  <c r="G156" i="24"/>
  <c r="G154"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3" i="24"/>
  <c r="G122" i="24"/>
  <c r="G118" i="24"/>
  <c r="G117" i="24"/>
  <c r="G116" i="24"/>
  <c r="G114" i="24"/>
  <c r="G113" i="24"/>
  <c r="G112" i="24"/>
  <c r="G111" i="24"/>
  <c r="G110" i="24"/>
  <c r="G108" i="24"/>
  <c r="G105" i="24"/>
  <c r="G104" i="24"/>
  <c r="G103" i="24"/>
  <c r="G102" i="24"/>
  <c r="G100" i="24"/>
  <c r="G99" i="24"/>
  <c r="G98" i="24"/>
  <c r="G97" i="24"/>
  <c r="G96" i="24"/>
  <c r="G95" i="24"/>
  <c r="G94" i="24"/>
  <c r="G93" i="24"/>
  <c r="G92" i="24"/>
  <c r="G91" i="24"/>
  <c r="G89" i="24"/>
  <c r="G88" i="24"/>
  <c r="G87" i="24"/>
  <c r="G86" i="24"/>
  <c r="G85" i="24"/>
  <c r="G84" i="24"/>
  <c r="G83" i="24"/>
  <c r="G82" i="24"/>
  <c r="G79" i="24"/>
  <c r="G78" i="24"/>
  <c r="G77" i="24"/>
  <c r="G76" i="24"/>
  <c r="G74" i="24"/>
  <c r="G73" i="24"/>
  <c r="G72" i="24"/>
  <c r="G71" i="24"/>
  <c r="G70" i="24"/>
  <c r="G68" i="24"/>
  <c r="G67" i="24"/>
  <c r="G66" i="24"/>
  <c r="G65" i="24"/>
  <c r="G64" i="24"/>
  <c r="G62" i="24"/>
  <c r="G61" i="24"/>
  <c r="G60" i="24"/>
  <c r="G59" i="24"/>
  <c r="G58" i="24"/>
  <c r="G57" i="24"/>
  <c r="G55" i="24"/>
  <c r="G54" i="24"/>
  <c r="G53" i="24"/>
  <c r="G52" i="24"/>
  <c r="G51" i="24"/>
  <c r="G49" i="24"/>
  <c r="G48" i="24"/>
  <c r="G46" i="24"/>
  <c r="G45" i="24"/>
  <c r="G44" i="24"/>
  <c r="G43" i="24"/>
  <c r="G42" i="24"/>
  <c r="G39" i="24"/>
  <c r="E39" i="24"/>
  <c r="E42" i="24"/>
  <c r="E43" i="24"/>
  <c r="E44" i="24"/>
  <c r="E45" i="24"/>
  <c r="E46" i="24"/>
  <c r="E48" i="24"/>
  <c r="E49" i="24"/>
  <c r="E51" i="24"/>
  <c r="E52" i="24"/>
  <c r="E53" i="24"/>
  <c r="E54" i="24"/>
  <c r="E55" i="24"/>
  <c r="E57" i="24"/>
  <c r="E58" i="24"/>
  <c r="E59" i="24"/>
  <c r="E60" i="24"/>
  <c r="E61" i="24"/>
  <c r="E62" i="24"/>
  <c r="E64" i="24"/>
  <c r="E65" i="24"/>
  <c r="E66" i="24"/>
  <c r="E67" i="24"/>
  <c r="E68" i="24"/>
  <c r="E70" i="24"/>
  <c r="E71" i="24"/>
  <c r="E72" i="24"/>
  <c r="E73" i="24"/>
  <c r="E74" i="24"/>
  <c r="E76" i="24"/>
  <c r="E77" i="24"/>
  <c r="E78" i="24"/>
  <c r="E79" i="24"/>
  <c r="E82" i="24"/>
  <c r="E83" i="24"/>
  <c r="E84" i="24"/>
  <c r="E85" i="24"/>
  <c r="E86" i="24"/>
  <c r="E87" i="24"/>
  <c r="E88" i="24"/>
  <c r="E89" i="24"/>
  <c r="E91" i="24"/>
  <c r="E92" i="24"/>
  <c r="E93" i="24"/>
  <c r="E94" i="24"/>
  <c r="E95" i="24"/>
  <c r="E96" i="24"/>
  <c r="E97" i="24"/>
  <c r="E98" i="24"/>
  <c r="E99" i="24"/>
  <c r="E100" i="24"/>
  <c r="E102" i="24"/>
  <c r="E103" i="24"/>
  <c r="E104" i="24"/>
  <c r="E105" i="24"/>
  <c r="E108" i="24"/>
  <c r="E110" i="24"/>
  <c r="E111" i="24"/>
  <c r="E112" i="24"/>
  <c r="E113" i="24"/>
  <c r="E114" i="24"/>
  <c r="E116" i="24"/>
  <c r="E117" i="24"/>
  <c r="E118" i="24"/>
  <c r="E122" i="24"/>
  <c r="E123"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4" i="24"/>
  <c r="E156" i="24"/>
  <c r="E157" i="24"/>
  <c r="E158" i="24"/>
  <c r="E159" i="24"/>
  <c r="E160" i="24"/>
  <c r="E161" i="24"/>
  <c r="E162" i="24"/>
  <c r="E163" i="24"/>
  <c r="E164" i="24"/>
  <c r="E165" i="24"/>
  <c r="E166" i="24"/>
  <c r="E167" i="24"/>
  <c r="E168" i="24"/>
  <c r="E169" i="24"/>
  <c r="E170" i="24"/>
  <c r="E171" i="24"/>
  <c r="E172"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E202" i="24"/>
  <c r="E203" i="24"/>
  <c r="E204" i="24"/>
  <c r="E205" i="24"/>
  <c r="E206" i="24"/>
  <c r="E207" i="24"/>
  <c r="E208" i="24"/>
  <c r="E209" i="24"/>
  <c r="E210" i="24"/>
  <c r="E211" i="24"/>
  <c r="E212" i="24"/>
  <c r="E213" i="24"/>
  <c r="E214" i="24"/>
  <c r="E215" i="24"/>
  <c r="E216" i="24"/>
  <c r="E217" i="24"/>
  <c r="E218" i="24"/>
  <c r="E219" i="24"/>
  <c r="E220" i="24"/>
  <c r="E221" i="24"/>
  <c r="E222" i="24"/>
  <c r="E223" i="24"/>
  <c r="E224" i="24"/>
  <c r="E225" i="24"/>
  <c r="E226" i="24"/>
  <c r="E227" i="24"/>
  <c r="E228" i="24"/>
  <c r="E229" i="24"/>
  <c r="E230" i="24"/>
  <c r="E231" i="24"/>
  <c r="E232" i="24"/>
  <c r="E233" i="24"/>
  <c r="E234" i="24"/>
  <c r="E235" i="24"/>
  <c r="E236" i="24"/>
  <c r="E237" i="24"/>
  <c r="E238" i="24"/>
  <c r="E239" i="24"/>
  <c r="E240" i="24"/>
  <c r="E241" i="24"/>
  <c r="E243" i="24"/>
  <c r="E244" i="24"/>
  <c r="E245" i="24"/>
  <c r="E246" i="24"/>
  <c r="E247" i="24"/>
  <c r="E248" i="24"/>
  <c r="E249" i="24"/>
  <c r="E250" i="24"/>
  <c r="E251" i="24"/>
  <c r="E252" i="24"/>
  <c r="E253" i="24"/>
  <c r="E254" i="24"/>
  <c r="E255" i="24"/>
  <c r="E256" i="24"/>
  <c r="E257" i="24"/>
  <c r="E258" i="24"/>
  <c r="E259" i="24"/>
  <c r="E260" i="24"/>
  <c r="E261" i="24"/>
  <c r="E262" i="24"/>
  <c r="E263" i="24"/>
  <c r="E264" i="24"/>
  <c r="E265" i="24"/>
  <c r="E266" i="24"/>
  <c r="E267" i="24"/>
  <c r="E268" i="24"/>
  <c r="E269" i="24"/>
  <c r="E270" i="24"/>
  <c r="E271" i="24"/>
  <c r="E272" i="24"/>
  <c r="E273" i="24"/>
  <c r="E274" i="24"/>
  <c r="E275" i="24"/>
  <c r="E276" i="24"/>
  <c r="E277" i="24"/>
  <c r="E278" i="24"/>
  <c r="E279" i="24"/>
  <c r="E280" i="24"/>
  <c r="E281" i="24"/>
  <c r="E282" i="24"/>
  <c r="E283" i="24"/>
  <c r="E284" i="24"/>
  <c r="E285" i="24"/>
  <c r="E286" i="24"/>
  <c r="E287" i="24"/>
  <c r="E288" i="24"/>
  <c r="E289" i="24"/>
  <c r="E290" i="24"/>
  <c r="E291" i="24"/>
  <c r="E292" i="24"/>
  <c r="E293" i="24"/>
  <c r="E294" i="24"/>
  <c r="E295" i="24"/>
  <c r="E296" i="24"/>
  <c r="E297" i="24"/>
  <c r="E298" i="24"/>
  <c r="E299" i="24"/>
  <c r="E300" i="24"/>
  <c r="E301" i="24"/>
  <c r="E302" i="24"/>
  <c r="E303" i="24"/>
  <c r="E304" i="24"/>
  <c r="E305" i="24"/>
  <c r="E306" i="24"/>
  <c r="AC26" i="23"/>
  <c r="AC25" i="23"/>
  <c r="AC24" i="23"/>
  <c r="AC23" i="23"/>
  <c r="AC22" i="23"/>
  <c r="Y41" i="23"/>
  <c r="Y40" i="23"/>
  <c r="Y39" i="23"/>
  <c r="Y38" i="23"/>
  <c r="Y37" i="23"/>
  <c r="Y26" i="23"/>
  <c r="Y25" i="23"/>
  <c r="Y24" i="23"/>
  <c r="Y23" i="23"/>
  <c r="Y22" i="23"/>
  <c r="U41" i="23"/>
  <c r="U40" i="23"/>
  <c r="U39" i="23"/>
  <c r="U38" i="23"/>
  <c r="U37" i="23"/>
  <c r="U26" i="23"/>
  <c r="U25" i="23"/>
  <c r="U24" i="23"/>
  <c r="U23" i="23"/>
  <c r="U22" i="23"/>
  <c r="Q41" i="23"/>
  <c r="Q40" i="23"/>
  <c r="Q39" i="23"/>
  <c r="Q38" i="23"/>
  <c r="Q37" i="23"/>
  <c r="Q26" i="23"/>
  <c r="Q25" i="23"/>
  <c r="Q24" i="23"/>
  <c r="Q23" i="23"/>
  <c r="Q22" i="23"/>
  <c r="Q36" i="23"/>
  <c r="U36" i="23"/>
  <c r="AC21" i="23"/>
  <c r="Y21" i="23"/>
  <c r="U21" i="23"/>
  <c r="Q21" i="23"/>
  <c r="J156" i="16"/>
  <c r="I156" i="16"/>
  <c r="H156" i="16"/>
  <c r="G156" i="16"/>
  <c r="J136" i="16"/>
  <c r="I136" i="16"/>
  <c r="H136" i="16"/>
  <c r="G136" i="16"/>
  <c r="J118" i="16"/>
  <c r="I118" i="16"/>
  <c r="H118" i="16"/>
  <c r="G118" i="16"/>
  <c r="J112" i="16"/>
  <c r="I112" i="16"/>
  <c r="H112" i="16"/>
  <c r="G112" i="16"/>
  <c r="J106" i="16"/>
  <c r="I106" i="16"/>
  <c r="H106" i="16"/>
  <c r="G106" i="16"/>
  <c r="J82" i="16"/>
  <c r="I82" i="16"/>
  <c r="I61" i="16"/>
  <c r="I69" i="16"/>
  <c r="H82" i="16"/>
  <c r="H61" i="16"/>
  <c r="H69" i="16"/>
  <c r="J69" i="16"/>
  <c r="J61" i="16"/>
  <c r="K61" i="16"/>
  <c r="K49" i="16"/>
  <c r="J49" i="16"/>
  <c r="I49" i="16"/>
  <c r="H49" i="16"/>
  <c r="G49" i="16"/>
  <c r="K40" i="16"/>
  <c r="J40" i="16"/>
  <c r="E4" i="16"/>
  <c r="F3" i="23"/>
  <c r="G6" i="1"/>
  <c r="Y46" i="23"/>
  <c r="Y45" i="23"/>
  <c r="Y44" i="23"/>
  <c r="Y43" i="23"/>
  <c r="Y42" i="23"/>
  <c r="Y34" i="23"/>
  <c r="Y33" i="23"/>
  <c r="U46" i="23"/>
  <c r="U45" i="23"/>
  <c r="U44" i="23"/>
  <c r="U43" i="23"/>
  <c r="U42" i="23"/>
  <c r="U34" i="23"/>
  <c r="U33" i="23"/>
  <c r="Q46" i="23"/>
  <c r="Q45" i="23"/>
  <c r="Q44" i="23"/>
  <c r="Q43" i="23"/>
  <c r="Q42" i="23"/>
  <c r="Q34" i="23"/>
  <c r="Q33" i="23"/>
  <c r="AC28" i="23"/>
  <c r="AC27" i="23"/>
  <c r="AC20" i="23"/>
  <c r="AC19" i="23"/>
  <c r="AC18" i="23"/>
  <c r="AC17" i="23"/>
  <c r="AC16" i="23"/>
  <c r="AC14" i="23"/>
  <c r="Y28" i="23"/>
  <c r="Y27" i="23"/>
  <c r="Y20" i="23"/>
  <c r="Y19" i="23"/>
  <c r="Y18" i="23"/>
  <c r="Y17" i="23"/>
  <c r="Y16" i="23"/>
  <c r="Y14" i="23"/>
  <c r="U28" i="23"/>
  <c r="U27" i="23"/>
  <c r="U20" i="23"/>
  <c r="U19" i="23"/>
  <c r="U18" i="23"/>
  <c r="U17" i="23"/>
  <c r="U16" i="23"/>
  <c r="Q28" i="23"/>
  <c r="Q27" i="23"/>
  <c r="Q20" i="23"/>
  <c r="Q19" i="23"/>
  <c r="Q18" i="23"/>
  <c r="Q17" i="23"/>
  <c r="Q16" i="23"/>
  <c r="Q14" i="23"/>
  <c r="K156" i="16"/>
  <c r="K136" i="16"/>
  <c r="K118" i="16"/>
  <c r="K112" i="16"/>
  <c r="K106" i="16"/>
  <c r="K82" i="16"/>
  <c r="K69" i="16"/>
  <c r="U35" i="23"/>
  <c r="M47" i="23"/>
  <c r="Q35" i="23"/>
  <c r="U47" i="23"/>
  <c r="U29" i="23"/>
  <c r="U62" i="23"/>
  <c r="Q47" i="23"/>
  <c r="Q29" i="23"/>
  <c r="Q54" i="23"/>
  <c r="Y15" i="23"/>
  <c r="Y29" i="23"/>
  <c r="G90" i="16"/>
  <c r="K90" i="16"/>
  <c r="AC52" i="23"/>
  <c r="K89" i="16"/>
  <c r="AC51" i="23"/>
  <c r="Y52" i="23"/>
  <c r="J89" i="16"/>
  <c r="J90" i="16"/>
  <c r="Y51" i="23"/>
  <c r="I90" i="16"/>
  <c r="U52" i="23"/>
  <c r="I89" i="16"/>
  <c r="U51" i="23"/>
  <c r="I88" i="16"/>
  <c r="H90" i="16"/>
  <c r="M29" i="23"/>
  <c r="AC15" i="23"/>
  <c r="AC29" i="23"/>
  <c r="Q51" i="23"/>
  <c r="Q52" i="23"/>
  <c r="H89" i="16"/>
  <c r="M51" i="23"/>
  <c r="Y32" i="23"/>
  <c r="M54" i="23"/>
  <c r="Y35" i="23"/>
  <c r="U55" i="23"/>
  <c r="U54" i="23"/>
  <c r="Q55" i="23"/>
  <c r="M53" i="23"/>
  <c r="M62" i="23"/>
  <c r="M55" i="23"/>
  <c r="Q62" i="23"/>
  <c r="K88" i="16"/>
  <c r="J88" i="16"/>
  <c r="H88" i="16"/>
  <c r="G88" i="16"/>
  <c r="M63" i="23"/>
  <c r="M64" i="23"/>
  <c r="F92" i="16"/>
  <c r="F94" i="16"/>
  <c r="H55" i="23"/>
  <c r="H54" i="23"/>
  <c r="H53" i="23"/>
  <c r="I84" i="16"/>
  <c r="I87" i="16"/>
  <c r="I92" i="16"/>
  <c r="I94" i="16"/>
  <c r="J84" i="16"/>
  <c r="K84" i="16"/>
  <c r="K87" i="16"/>
  <c r="K92" i="16"/>
  <c r="K94" i="16"/>
  <c r="H84" i="16"/>
  <c r="H87" i="16"/>
  <c r="H92" i="16"/>
  <c r="H94" i="16"/>
  <c r="G84" i="16"/>
  <c r="G85" i="16"/>
  <c r="Q53" i="23"/>
  <c r="Y36" i="23"/>
  <c r="Y47" i="23"/>
  <c r="Y62" i="23"/>
  <c r="J85" i="16"/>
  <c r="Q63" i="23"/>
  <c r="Q64" i="23"/>
  <c r="U53" i="23"/>
  <c r="U63" i="23"/>
  <c r="U64" i="23"/>
  <c r="AC62" i="23"/>
  <c r="AC53" i="23"/>
  <c r="AC54" i="23"/>
  <c r="AC55" i="23"/>
  <c r="Y55" i="23"/>
  <c r="Y53" i="23"/>
  <c r="Y54" i="23"/>
  <c r="F165" i="16"/>
  <c r="F14" i="16"/>
  <c r="K14" i="16"/>
  <c r="K28" i="16"/>
  <c r="K51" i="16"/>
  <c r="J87" i="16"/>
  <c r="J92" i="16"/>
  <c r="J94" i="16"/>
  <c r="I85" i="16"/>
  <c r="H62" i="23"/>
  <c r="F167" i="16"/>
  <c r="F169" i="16"/>
  <c r="H63" i="23"/>
  <c r="H64" i="23"/>
  <c r="F95" i="16"/>
  <c r="K85" i="16"/>
  <c r="H85" i="16"/>
  <c r="G87" i="16"/>
  <c r="G92" i="16"/>
  <c r="G94" i="16"/>
  <c r="G95" i="16"/>
  <c r="L85" i="16"/>
  <c r="I95" i="16"/>
  <c r="AC63" i="23"/>
  <c r="AC64" i="23"/>
  <c r="K95" i="16"/>
  <c r="Y63" i="23"/>
  <c r="Y64" i="23"/>
  <c r="J95" i="16"/>
  <c r="K165" i="16"/>
  <c r="K167" i="16"/>
  <c r="K169" i="16"/>
  <c r="G14" i="16"/>
  <c r="G28" i="16"/>
  <c r="G51" i="16"/>
  <c r="G165" i="16"/>
  <c r="I14" i="16"/>
  <c r="I28" i="16"/>
  <c r="I51" i="16"/>
  <c r="J14" i="16"/>
  <c r="J28" i="16"/>
  <c r="J51" i="16"/>
  <c r="H14" i="16"/>
  <c r="H28" i="16"/>
  <c r="H51" i="16"/>
  <c r="H95" i="16"/>
  <c r="L95" i="16"/>
  <c r="G167" i="16"/>
  <c r="G169" i="16"/>
  <c r="J165" i="16"/>
  <c r="J167" i="16"/>
  <c r="J169" i="16"/>
  <c r="I165" i="16"/>
  <c r="I167" i="16"/>
  <c r="I169" i="16"/>
  <c r="H165" i="16"/>
  <c r="H167" i="16"/>
  <c r="H16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D17" authorId="0" shapeId="0" xr:uid="{00000000-0006-0000-0400-000001000000}">
      <text>
        <r>
          <rPr>
            <sz val="9"/>
            <color indexed="81"/>
            <rFont val="Tahoma"/>
            <family val="2"/>
          </rPr>
          <t>2009 = 2009-10</t>
        </r>
      </text>
    </comment>
  </commentList>
</comments>
</file>

<file path=xl/sharedStrings.xml><?xml version="1.0" encoding="utf-8"?>
<sst xmlns="http://schemas.openxmlformats.org/spreadsheetml/2006/main" count="639" uniqueCount="551">
  <si>
    <t>Title I</t>
  </si>
  <si>
    <t>Title II</t>
  </si>
  <si>
    <t xml:space="preserve"> </t>
  </si>
  <si>
    <t>Textbooks</t>
  </si>
  <si>
    <t>Legal Services</t>
  </si>
  <si>
    <t>Payroll Services</t>
  </si>
  <si>
    <t>Travel</t>
  </si>
  <si>
    <t>Other Revenues</t>
  </si>
  <si>
    <t>Professional Development</t>
  </si>
  <si>
    <t>Federal Lunch Program</t>
  </si>
  <si>
    <t>Federal Breakfast Reimbursement</t>
  </si>
  <si>
    <t>State Matching Funds for School Lunch Program</t>
  </si>
  <si>
    <t>Textbook Reimbursement</t>
  </si>
  <si>
    <t>Summer School</t>
  </si>
  <si>
    <t>Interest Income</t>
  </si>
  <si>
    <t>REVENUES</t>
  </si>
  <si>
    <t>Formative Assessment Grant</t>
  </si>
  <si>
    <t>Special Education Grant</t>
  </si>
  <si>
    <t>Federal Revenues - See Footnotes</t>
  </si>
  <si>
    <t>IDEA- Part B Grant (Special Education)</t>
  </si>
  <si>
    <t>Contributions and Donations from Private Sources</t>
  </si>
  <si>
    <t>Other Fees</t>
  </si>
  <si>
    <t>Other Revenue (please describe)</t>
  </si>
  <si>
    <t>EXPENSES</t>
  </si>
  <si>
    <t>Business Manager/Director of Finance</t>
  </si>
  <si>
    <t>Total Administrative Staff:</t>
  </si>
  <si>
    <t>Teachers - Special Education</t>
  </si>
  <si>
    <t>Substitutes, Assistants, Paraprofessionals, Aides</t>
  </si>
  <si>
    <t>Summer School Staff</t>
  </si>
  <si>
    <t>Total Instructional Staff:</t>
  </si>
  <si>
    <t>Non-Instructional/Support Staff - See Footnotes</t>
  </si>
  <si>
    <t>Librarian</t>
  </si>
  <si>
    <t>Athletic Coaches</t>
  </si>
  <si>
    <t>Total Non-Instructional/Support Staff:</t>
  </si>
  <si>
    <t>Subtotal Wages and Salaries:</t>
  </si>
  <si>
    <t>Total Payroll Taxes and Benefits:</t>
  </si>
  <si>
    <t>Total Personnel Expenses:</t>
  </si>
  <si>
    <t>Student Assessment</t>
  </si>
  <si>
    <t>Instructional Software</t>
  </si>
  <si>
    <t>Total Instructional Supplies and Resources:</t>
  </si>
  <si>
    <t>Total Support Supplies and Resources:</t>
  </si>
  <si>
    <t>Governing Board Expenses</t>
  </si>
  <si>
    <t>Total Board Expenses:</t>
  </si>
  <si>
    <t>Audit Services</t>
  </si>
  <si>
    <t>Financial Accounting</t>
  </si>
  <si>
    <t>Printing, Publishing, Duplicating Services</t>
  </si>
  <si>
    <t>Special Education Administration</t>
  </si>
  <si>
    <t>Food Services</t>
  </si>
  <si>
    <t>Total Professional Purchased or Contracted Services:</t>
  </si>
  <si>
    <t>Total Facilities Expenses:</t>
  </si>
  <si>
    <t>Bank Fees</t>
  </si>
  <si>
    <t>Total Other Expenses:</t>
  </si>
  <si>
    <t>TOTAL EXPENSES:</t>
  </si>
  <si>
    <t>Footnotes:</t>
  </si>
  <si>
    <t>INSTRUCTIONAL STAFF</t>
  </si>
  <si>
    <t>ADMIN &amp; SUPPORT</t>
  </si>
  <si>
    <t>Total Staff</t>
  </si>
  <si>
    <t>Student/teacher ratio</t>
  </si>
  <si>
    <t>Assumptions</t>
  </si>
  <si>
    <t>1. Instructions</t>
  </si>
  <si>
    <t>2. Enrollment Projection</t>
  </si>
  <si>
    <t>3. Staffing Plan</t>
  </si>
  <si>
    <t>School Name:</t>
  </si>
  <si>
    <t>Kindergarten</t>
  </si>
  <si>
    <t>Grade 1</t>
  </si>
  <si>
    <t>Grade 2</t>
  </si>
  <si>
    <t>Grade 3</t>
  </si>
  <si>
    <t>Grade 4</t>
  </si>
  <si>
    <t>Grade 5</t>
  </si>
  <si>
    <t>Grade 6</t>
  </si>
  <si>
    <t>Grade 7</t>
  </si>
  <si>
    <t>Grade 8</t>
  </si>
  <si>
    <t>Grade 9</t>
  </si>
  <si>
    <t>Grade 10</t>
  </si>
  <si>
    <t>Grade 11</t>
  </si>
  <si>
    <t>Grade 12</t>
  </si>
  <si>
    <t>Adult</t>
  </si>
  <si>
    <t>Name of Proposed Charter School:</t>
  </si>
  <si>
    <t>Number</t>
  </si>
  <si>
    <t>Average Salary</t>
  </si>
  <si>
    <t>Total Expense</t>
  </si>
  <si>
    <t>Medicare</t>
  </si>
  <si>
    <t>Unemployment</t>
  </si>
  <si>
    <t>Enrollment</t>
  </si>
  <si>
    <t>Special Education #</t>
  </si>
  <si>
    <t>English Learners #</t>
  </si>
  <si>
    <t>BENEFITS</t>
  </si>
  <si>
    <t>Rate/Per Employee Expense</t>
  </si>
  <si>
    <t>Total Admin &amp; Support Staff:</t>
  </si>
  <si>
    <t>SUMMARY</t>
  </si>
  <si>
    <t>Total Salaries:</t>
  </si>
  <si>
    <t>Total Salaries + Benefits:</t>
  </si>
  <si>
    <t>Other Expenses - See Footnotes</t>
  </si>
  <si>
    <t>Special Instructions for Schools Contracting with a Management Company:</t>
  </si>
  <si>
    <t>= Information should be entered into light gray shaded cells.</t>
  </si>
  <si>
    <t>Adult Grant:</t>
  </si>
  <si>
    <t>School Corporation</t>
  </si>
  <si>
    <t>Data Validation List (Complexity)</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</si>
  <si>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</si>
  <si>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</si>
  <si>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</si>
  <si>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</si>
  <si>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</si>
  <si>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</si>
  <si>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In Properties window, select “2 – xlSheetVeryHidden” from the Visible property's drop-down list.</t>
  </si>
  <si>
    <t xml:space="preserve">  - To Unhide, select “-1 – xlSheetVeryHidden” from the Visible property's drop-down list.</t>
  </si>
  <si>
    <r>
      <t xml:space="preserve">Select from drop-down list </t>
    </r>
    <r>
      <rPr>
        <sz val="10"/>
        <color indexed="8"/>
        <rFont val="Calibri"/>
        <family val="2"/>
      </rPr>
      <t>→</t>
    </r>
  </si>
  <si>
    <t>Adams Central Community Schools</t>
  </si>
  <si>
    <t>Alexandria Com School Corp</t>
  </si>
  <si>
    <t>Anderson Community School Corp</t>
  </si>
  <si>
    <t>Argos Community Schools</t>
  </si>
  <si>
    <t>Attica Consolidated Sch Corp</t>
  </si>
  <si>
    <t>Avon Community School Corp</t>
  </si>
  <si>
    <t>Barr-Reeve Com Schools Inc</t>
  </si>
  <si>
    <t>Bartholomew Con School Corp</t>
  </si>
  <si>
    <t>Batesville Community Sch Corp</t>
  </si>
  <si>
    <t>Baugo Community Schools</t>
  </si>
  <si>
    <t>Beech Grove City Schools</t>
  </si>
  <si>
    <t>Benton Community School Corp</t>
  </si>
  <si>
    <t>Blackford County Schools</t>
  </si>
  <si>
    <t>Bloomfield School District</t>
  </si>
  <si>
    <t>Blue River Valley Schools</t>
  </si>
  <si>
    <t>Bremen Public Schools</t>
  </si>
  <si>
    <t>Brown County School Corporation</t>
  </si>
  <si>
    <t>Brownsburg Community Sch Corp</t>
  </si>
  <si>
    <t>Brownstown Cnt Com Sch Corp</t>
  </si>
  <si>
    <t>C A Beard Memorial School Corp</t>
  </si>
  <si>
    <t>Cannelton City Schools</t>
  </si>
  <si>
    <t>Carmel Clay Schools</t>
  </si>
  <si>
    <t>Carroll Consolidated Sch Corp</t>
  </si>
  <si>
    <t>Caston School Corporation</t>
  </si>
  <si>
    <t>Center Grove Com Sch Corp</t>
  </si>
  <si>
    <t>Centerville-Abington Com Schs</t>
  </si>
  <si>
    <t>Central Noble Com School Corp</t>
  </si>
  <si>
    <t>Clark-Pleasant Com School Corp</t>
  </si>
  <si>
    <t>Clarksville Com School Corp</t>
  </si>
  <si>
    <t>Clay Community Schools</t>
  </si>
  <si>
    <t>Clinton Central School Corp</t>
  </si>
  <si>
    <t>Clinton Prairie School Corp</t>
  </si>
  <si>
    <t>Cloverdale Community Schools</t>
  </si>
  <si>
    <t>Community Schools of Frankfort</t>
  </si>
  <si>
    <t>Concord Community Schools</t>
  </si>
  <si>
    <t>Covington Community Sch Corp</t>
  </si>
  <si>
    <t>Cowan Community School Corp</t>
  </si>
  <si>
    <t>Crawford Co Com School Corp</t>
  </si>
  <si>
    <t>Crawfordsville Com Schools</t>
  </si>
  <si>
    <t>Crothersville Community Schools</t>
  </si>
  <si>
    <t>Crown Point Community Sch Corp</t>
  </si>
  <si>
    <t>Culver Community Schools Corp</t>
  </si>
  <si>
    <t>Daleville Community Schools</t>
  </si>
  <si>
    <t>Danville Community School Corp</t>
  </si>
  <si>
    <t>Decatur County Com Schools</t>
  </si>
  <si>
    <t>DeKalb Co Ctl United Sch Dist</t>
  </si>
  <si>
    <t>DeKalb Co Eastern Com Sch Dist</t>
  </si>
  <si>
    <t>Delaware Community School Corp</t>
  </si>
  <si>
    <t>Delphi Community School Corp</t>
  </si>
  <si>
    <t>Duneland School Corporation</t>
  </si>
  <si>
    <t>East Allen County Schools</t>
  </si>
  <si>
    <t>East Gibson School Corporation</t>
  </si>
  <si>
    <t>East Noble School Corp</t>
  </si>
  <si>
    <t>East Porter County School Corp</t>
  </si>
  <si>
    <t>East Washington School Corp</t>
  </si>
  <si>
    <t>Eastbrook Community Sch Corp</t>
  </si>
  <si>
    <t>Eastern Greene Schools</t>
  </si>
  <si>
    <t>Eastern Hancock Co Com Sch Corp</t>
  </si>
  <si>
    <t>Eastern Howard School Corp</t>
  </si>
  <si>
    <t>Eastern Pulaski Com Sch Corp</t>
  </si>
  <si>
    <t>Edinburgh Community Sch Corp</t>
  </si>
  <si>
    <t>Elkhart Community Schools</t>
  </si>
  <si>
    <t>Elwood Community School Corp</t>
  </si>
  <si>
    <t>Eminence Community School Corp</t>
  </si>
  <si>
    <t>Evansville-Vanderburgh Sch Corp</t>
  </si>
  <si>
    <t>Fairfield Community Schools</t>
  </si>
  <si>
    <t>Fayette County School Corp</t>
  </si>
  <si>
    <t>Flat Rock-Hawcreek School Corp</t>
  </si>
  <si>
    <t>Fort Wayne Community Schools</t>
  </si>
  <si>
    <t>Franklin Community School Corp</t>
  </si>
  <si>
    <t>Franklin County Com Sch Corp</t>
  </si>
  <si>
    <t>Franklin Township Com Sch Corp</t>
  </si>
  <si>
    <t>Frankton-Lapel Community Schs</t>
  </si>
  <si>
    <t>Fremont Community Schools</t>
  </si>
  <si>
    <t>Frontier School Corporation</t>
  </si>
  <si>
    <t>Garrett-Keyser-Butler Com</t>
  </si>
  <si>
    <t>Gary Community School Corp</t>
  </si>
  <si>
    <t>Goshen Community Schools</t>
  </si>
  <si>
    <t>Greater Clark County Schools</t>
  </si>
  <si>
    <t>Greater Jasper Con Schs</t>
  </si>
  <si>
    <t>Greencastle Community Sch Corp</t>
  </si>
  <si>
    <t>Greenfield-Central Com Schools</t>
  </si>
  <si>
    <t>Greensburg Community Schools</t>
  </si>
  <si>
    <t>Greenwood Community Sch Corp</t>
  </si>
  <si>
    <t>Griffith Public Schools</t>
  </si>
  <si>
    <t>Hamilton Community Schools</t>
  </si>
  <si>
    <t>Hamilton Heights School Corp</t>
  </si>
  <si>
    <t>Hamilton Southeastern Schools</t>
  </si>
  <si>
    <t>Hanover Community School Corp</t>
  </si>
  <si>
    <t>Huntington Co Com Sch Corp</t>
  </si>
  <si>
    <t>Indianapolis Public Schools</t>
  </si>
  <si>
    <t>Jac-Cen-Del Community Sch Corp</t>
  </si>
  <si>
    <t>Jay School Corp</t>
  </si>
  <si>
    <t>Jennings County Schools</t>
  </si>
  <si>
    <t>John Glenn School Corporation</t>
  </si>
  <si>
    <t>Kankakee Valley School Corp</t>
  </si>
  <si>
    <t>Knox Community School Corp</t>
  </si>
  <si>
    <t>Kokomo-Center Twp Con Sch Corp</t>
  </si>
  <si>
    <t>Lafayette School Corporation</t>
  </si>
  <si>
    <t>Lake Central School Corp</t>
  </si>
  <si>
    <t>Lake Ridge Schools</t>
  </si>
  <si>
    <t>Lake Station Community Schools</t>
  </si>
  <si>
    <t>Lakeland School Corporation</t>
  </si>
  <si>
    <t>Lanesville Community School Corp</t>
  </si>
  <si>
    <t>LaPorte Community School Corp</t>
  </si>
  <si>
    <t>Lawrenceburg Com School Corp</t>
  </si>
  <si>
    <t>Lebanon Community School Corp</t>
  </si>
  <si>
    <t>Liberty-Perry Com School Corp</t>
  </si>
  <si>
    <t>Linton-Stockton School Corp</t>
  </si>
  <si>
    <t>Logansport Community Sch Corp</t>
  </si>
  <si>
    <t>Loogootee Community Sch Corp</t>
  </si>
  <si>
    <t>M S D Bluffton-Harrison</t>
  </si>
  <si>
    <t>M S D Boone Township</t>
  </si>
  <si>
    <t>M S D Decatur Township</t>
  </si>
  <si>
    <t>M S D Lawrence Township</t>
  </si>
  <si>
    <t>M S D Martinsville Schools</t>
  </si>
  <si>
    <t>M S D Mount Vernon</t>
  </si>
  <si>
    <t>M S D North Posey Co Schools</t>
  </si>
  <si>
    <t>M S D of New Durham Township</t>
  </si>
  <si>
    <t>M S D Perry Township</t>
  </si>
  <si>
    <t>M S D Pike Township</t>
  </si>
  <si>
    <t>M S D Shakamak Schools</t>
  </si>
  <si>
    <t>M S D Southwest Allen County</t>
  </si>
  <si>
    <t>M S D Steuben County</t>
  </si>
  <si>
    <t>M S D Wabash County Schools</t>
  </si>
  <si>
    <t>M S D Warren County</t>
  </si>
  <si>
    <t>M S D Warren Township</t>
  </si>
  <si>
    <t>M S D Washington Township</t>
  </si>
  <si>
    <t>M S D Wayne Township</t>
  </si>
  <si>
    <t>Maconaquah School Corp</t>
  </si>
  <si>
    <t>Madison Consolidated Schools</t>
  </si>
  <si>
    <t>Madison-Grant United Sch Corp</t>
  </si>
  <si>
    <t>Manchester Community Schools</t>
  </si>
  <si>
    <t>Marion Community Schools</t>
  </si>
  <si>
    <t>Medora Community School Corp</t>
  </si>
  <si>
    <t>Merrillville Community School</t>
  </si>
  <si>
    <t>Michigan City Area Schools</t>
  </si>
  <si>
    <t>Middlebury Community Schools</t>
  </si>
  <si>
    <t>Milan Community Schools</t>
  </si>
  <si>
    <t>Mill Creek Community Sch Corp</t>
  </si>
  <si>
    <t>Mississinewa Community School Corp</t>
  </si>
  <si>
    <t>Mitchell Community Schools</t>
  </si>
  <si>
    <t>Monroe Central School Corp</t>
  </si>
  <si>
    <t>Monroe County Com Sch Corp</t>
  </si>
  <si>
    <t>Monroe-Gregg School District</t>
  </si>
  <si>
    <t>Mooresville Con School Corp</t>
  </si>
  <si>
    <t>Mt Vernon Community Sch Corp</t>
  </si>
  <si>
    <t>Muncie Community Schools</t>
  </si>
  <si>
    <t>Nettle Creek School Corp</t>
  </si>
  <si>
    <t>New Albany-Floyd Co Con Sch</t>
  </si>
  <si>
    <t>New Castle Community Sch Corp</t>
  </si>
  <si>
    <t>New Prairie United School Corp</t>
  </si>
  <si>
    <t>Nineveh-Hensley-Jackson United</t>
  </si>
  <si>
    <t>Noblesville Schools</t>
  </si>
  <si>
    <t>North Adams Community Schools</t>
  </si>
  <si>
    <t>North Central Parke Con Sch Corp</t>
  </si>
  <si>
    <t>North Daviess Com Schools</t>
  </si>
  <si>
    <t>North Gibson School Corp</t>
  </si>
  <si>
    <t>North Harrison Com School Corp</t>
  </si>
  <si>
    <t>North Judson-San Pierre Sch Corp</t>
  </si>
  <si>
    <t>North Knox School Corp</t>
  </si>
  <si>
    <t>North Lawrence Com Schools</t>
  </si>
  <si>
    <t>North Miami Community Schools</t>
  </si>
  <si>
    <t>North Montgomery Com Sch Corp</t>
  </si>
  <si>
    <t>North Newton School Corp</t>
  </si>
  <si>
    <t>North Putnam Community Schools</t>
  </si>
  <si>
    <t>North Spencer County Sch Corp</t>
  </si>
  <si>
    <t>North Vermillion Com Sch Corp</t>
  </si>
  <si>
    <t>North West Hendricks Schools</t>
  </si>
  <si>
    <t>North White School Corp</t>
  </si>
  <si>
    <t>Northeast Dubois Co Sch Corp</t>
  </si>
  <si>
    <t>Northeast School Corp</t>
  </si>
  <si>
    <t>Northeastern Wayne Schools</t>
  </si>
  <si>
    <t>Northern Wells Com Schools</t>
  </si>
  <si>
    <t>Northwest Allen County Schools</t>
  </si>
  <si>
    <t>Northwestern Con School Corp</t>
  </si>
  <si>
    <t>Northwestern School Corp</t>
  </si>
  <si>
    <t>Oak Hill United School Corp</t>
  </si>
  <si>
    <t>Oregon-Davis School Corp</t>
  </si>
  <si>
    <t>Orleans Community Schools</t>
  </si>
  <si>
    <t>Paoli Community School Corp</t>
  </si>
  <si>
    <t>Penn-Harris-Madison Sch Corp</t>
  </si>
  <si>
    <t>Perry Central Com Schools Corp</t>
  </si>
  <si>
    <t>Peru Community Schools</t>
  </si>
  <si>
    <t>Pike County School Corp</t>
  </si>
  <si>
    <t>Pioneer Regional School Corp</t>
  </si>
  <si>
    <t>Plainfield Community Sch Corp</t>
  </si>
  <si>
    <t>Plymouth Community School Corp</t>
  </si>
  <si>
    <t>Portage Township Schools</t>
  </si>
  <si>
    <t>Porter Township School Corp</t>
  </si>
  <si>
    <t>Prairie Heights Com Sch Corp</t>
  </si>
  <si>
    <t>Randolph Central School Corp</t>
  </si>
  <si>
    <t>Randolph Eastern School Corp</t>
  </si>
  <si>
    <t>Randolph Southern School Corp</t>
  </si>
  <si>
    <t>Rensselaer Central School Corp</t>
  </si>
  <si>
    <t>Richland-Bean Blossom C S C</t>
  </si>
  <si>
    <t>Richmond Community School</t>
  </si>
  <si>
    <t>Rising Sun-Ohio Co Com</t>
  </si>
  <si>
    <t>River Forest Community Sch Corp</t>
  </si>
  <si>
    <t>Rochester Community Sch Corp</t>
  </si>
  <si>
    <t>Rossville Con School District</t>
  </si>
  <si>
    <t>Rush County Schools</t>
  </si>
  <si>
    <t>Salem Community Schools</t>
  </si>
  <si>
    <t>School City of East Chicago</t>
  </si>
  <si>
    <t>School City of Hammond</t>
  </si>
  <si>
    <t>School City of Hobart</t>
  </si>
  <si>
    <t>School City of Mishawaka</t>
  </si>
  <si>
    <t>School Town of Highland</t>
  </si>
  <si>
    <t>School Town of Munster</t>
  </si>
  <si>
    <t>School Town of Speedway</t>
  </si>
  <si>
    <t>Scott County School District 1</t>
  </si>
  <si>
    <t>Scott County School District 2</t>
  </si>
  <si>
    <t>Seymour Community Schools</t>
  </si>
  <si>
    <t>Shelby Eastern Schools</t>
  </si>
  <si>
    <t>Shelbyville Central Schools</t>
  </si>
  <si>
    <t>Shenandoah School Corporation</t>
  </si>
  <si>
    <t>Sheridan Community Schools</t>
  </si>
  <si>
    <t>Shoals Community School Corp</t>
  </si>
  <si>
    <t>Smith-Green Community Schools</t>
  </si>
  <si>
    <t>South Adams Schools</t>
  </si>
  <si>
    <t>South Bend Community Sch Corp</t>
  </si>
  <si>
    <t>South Central Com School Corp</t>
  </si>
  <si>
    <t>South Dearborn Com School Corp</t>
  </si>
  <si>
    <t>South Gibson School Corp</t>
  </si>
  <si>
    <t>South Harrison Com Schools</t>
  </si>
  <si>
    <t>South Henry School Corp</t>
  </si>
  <si>
    <t>South Knox School Corp</t>
  </si>
  <si>
    <t>South Madison Com Sch Corp</t>
  </si>
  <si>
    <t>South Montgomery Com Sch Corp</t>
  </si>
  <si>
    <t>South Newton School Corp</t>
  </si>
  <si>
    <t>South Putnam Community Schools</t>
  </si>
  <si>
    <t>South Ripley Com Sch Corp</t>
  </si>
  <si>
    <t>South Spencer County Sch Corp</t>
  </si>
  <si>
    <t>South Vermillion Com Sch Corp</t>
  </si>
  <si>
    <t>Southeast Dubois Co Sch Corp</t>
  </si>
  <si>
    <t>Southeast Fountain School Corp</t>
  </si>
  <si>
    <t>Southern Hancock Co Com Sch Corp</t>
  </si>
  <si>
    <t>Southern Wells Com Schools</t>
  </si>
  <si>
    <t>Southwest Dubois Co Sch Corp</t>
  </si>
  <si>
    <t>Southwest Parke Com Sch Corp</t>
  </si>
  <si>
    <t>Southwest School Corp</t>
  </si>
  <si>
    <t>Southwestern Con Sch Shelby Co</t>
  </si>
  <si>
    <t>Southwestern-Jefferson Co Con</t>
  </si>
  <si>
    <t>Spencer-Owen Community Schools</t>
  </si>
  <si>
    <t>Springs Valley Com School Corp</t>
  </si>
  <si>
    <t>Sunman-Dearborn Com Sch Corp</t>
  </si>
  <si>
    <t>Switzerland County School Corp</t>
  </si>
  <si>
    <t>Taylor Community School Corp</t>
  </si>
  <si>
    <t>Tell City-Troy Twp School Corp</t>
  </si>
  <si>
    <t>Tippecanoe School Corp</t>
  </si>
  <si>
    <t>Tippecanoe Valley School Corp</t>
  </si>
  <si>
    <t>Tipton Community School Corp</t>
  </si>
  <si>
    <t>Tri-Central Community Schools</t>
  </si>
  <si>
    <t>Tri-County School Corp</t>
  </si>
  <si>
    <t>Tri-Creek School Corp</t>
  </si>
  <si>
    <t>Triton School Corporation</t>
  </si>
  <si>
    <t>Tri-Township Cons School Corp</t>
  </si>
  <si>
    <t>Twin Lakes School Corp</t>
  </si>
  <si>
    <t>Union Co/Clg Corner Joint Sch Dist</t>
  </si>
  <si>
    <t>Union School Corporation</t>
  </si>
  <si>
    <t>Union Township School Corp</t>
  </si>
  <si>
    <t>Union-North United School Corp</t>
  </si>
  <si>
    <t>Valparaiso Community Schools</t>
  </si>
  <si>
    <t>Vigo County School Corp</t>
  </si>
  <si>
    <t>Vincennes Community Sch Corp</t>
  </si>
  <si>
    <t>Wabash City Schools</t>
  </si>
  <si>
    <t>Wa-Nee Community Schools</t>
  </si>
  <si>
    <t>Warrick County School Corp</t>
  </si>
  <si>
    <t>Warsaw Community Schools</t>
  </si>
  <si>
    <t>Washington Com Schools Inc</t>
  </si>
  <si>
    <t>Wawasee Community School Corp</t>
  </si>
  <si>
    <t>Wes-Del Community Schools</t>
  </si>
  <si>
    <t>West Central School Corp</t>
  </si>
  <si>
    <t>West Clark Community Schools</t>
  </si>
  <si>
    <t>West Lafayette Com School Corp</t>
  </si>
  <si>
    <t>West Noble School Corporation</t>
  </si>
  <si>
    <t>West Washington School Corp</t>
  </si>
  <si>
    <t>Western Boone Co Com Sch Dist</t>
  </si>
  <si>
    <t>Western School Corp</t>
  </si>
  <si>
    <t>Western Wayne Schools</t>
  </si>
  <si>
    <t>Westfield-Washington Schools</t>
  </si>
  <si>
    <t>Westview School Corporation</t>
  </si>
  <si>
    <t>White River Valley Sch Dist</t>
  </si>
  <si>
    <t>Whiting School City</t>
  </si>
  <si>
    <t>Whitko Community School Corp</t>
  </si>
  <si>
    <t>Whitley Co Cons Schools</t>
  </si>
  <si>
    <t>Zionsville Community Schools</t>
  </si>
  <si>
    <t>FRL #</t>
  </si>
  <si>
    <t>FY 2020</t>
  </si>
  <si>
    <t>FY 2021</t>
  </si>
  <si>
    <t>FY 20 Index</t>
  </si>
  <si>
    <t>FY 21 Index</t>
  </si>
  <si>
    <t>Lewis Cass School Corp</t>
  </si>
  <si>
    <t>Yorktown Community Schools</t>
  </si>
  <si>
    <t>FY 20 $/ADM</t>
  </si>
  <si>
    <t>FY 21 $/ADM</t>
  </si>
  <si>
    <t>Average Salary (1)</t>
  </si>
  <si>
    <r>
      <t xml:space="preserve">•  Complete all relevant Grey Shaded areas -&gt; Name of Position, Number of Positions, Average Salary, Health Insurance, Retirement Contribution, and Other Benefits. </t>
    </r>
    <r>
      <rPr>
        <b/>
        <sz val="10"/>
        <rFont val="Calibri"/>
        <family val="2"/>
      </rPr>
      <t/>
    </r>
  </si>
  <si>
    <t>•  Please see footnotes below for additional information.</t>
  </si>
  <si>
    <t>Social Security (3)</t>
  </si>
  <si>
    <t>Health Insurance (2)</t>
  </si>
  <si>
    <t>Retirement Contributions</t>
  </si>
  <si>
    <t>K-12 Distribution</t>
  </si>
  <si>
    <t>Adult Distribution</t>
  </si>
  <si>
    <t>Total Distribution</t>
  </si>
  <si>
    <t>The information provided below does not, and is not intended to, constitute legal advice. Schools should consult with an attorney/accountant for any questions about employment matters.</t>
  </si>
  <si>
    <t>Health Insurance</t>
  </si>
  <si>
    <t>Other Compensation</t>
  </si>
  <si>
    <t>Social Security/Medicare/Unemployment</t>
  </si>
  <si>
    <t>Charter and Innovation Network School Grant (1)</t>
  </si>
  <si>
    <t>Public Charter School Program Grant (2)</t>
  </si>
  <si>
    <t>Payroll Taxes and Benefits - From Tab 3</t>
  </si>
  <si>
    <t>Total Adult Enrollment:</t>
  </si>
  <si>
    <t>Total K-12 Enrollment:</t>
  </si>
  <si>
    <t>4. 5-Year Budget</t>
  </si>
  <si>
    <t>Renewal Year:</t>
  </si>
  <si>
    <t>(must align with Renewal Application Enrollment Plan)</t>
  </si>
  <si>
    <t>•  Projected salary and benefits must align with 5-Year budget.</t>
  </si>
  <si>
    <t>All Grant amounts are from 2019 Biennial Budget. Complexity Index Data (Columns D &amp; F) are taken from LSA Budget Projections Run (04/23/19). For first year of biennium (2019-20), Column E (FY 20) is used for Year 1 and Column G (FY 21) is used for Years 2-5.
For second year of biennium (2020-21), Column G (FY 21) is used for all Years 1-5.</t>
  </si>
  <si>
    <t>ALL GRANTS/INDEXES MUST BE ADJUSTED UPON PASSAGE OF NEW BIENNIAL BUDGET.</t>
  </si>
  <si>
    <t>Grants</t>
  </si>
  <si>
    <t>Foundation Amount:</t>
  </si>
  <si>
    <t>Complexity Multiplier:</t>
  </si>
  <si>
    <t>ELL Adjustment:</t>
  </si>
  <si>
    <t xml:space="preserve">     (not currently calculated - See IC 20-43-6-3(b) STEP 4)</t>
  </si>
  <si>
    <t>Sped Grant (mild/mod):</t>
  </si>
  <si>
    <t xml:space="preserve">     (not calculated for severe disabilities - See IC 20-43-7-6)</t>
  </si>
  <si>
    <t>$/ADM = "Foundation Amount" + ("Complexity Multiplier" * "Complexity Index")</t>
  </si>
  <si>
    <t>REQUIRED</t>
  </si>
  <si>
    <t>Location:</t>
  </si>
  <si>
    <t>Adjusted Distribution</t>
  </si>
  <si>
    <t>teacher</t>
  </si>
  <si>
    <t>teaching asst</t>
  </si>
  <si>
    <t>Operations Manager</t>
  </si>
  <si>
    <t>Principal</t>
  </si>
  <si>
    <t>custodian</t>
  </si>
  <si>
    <t>security</t>
  </si>
  <si>
    <t>SPED teacher</t>
  </si>
  <si>
    <t>First Year of New Charter (Renewal Year):</t>
  </si>
  <si>
    <t>Version 10.20.20</t>
  </si>
  <si>
    <t>REQUIRED (Use Pull Down List)</t>
  </si>
  <si>
    <t>• All organizers submitting a renewal application to the Indiana Charter School Board must complete Sheets 1 through 4 of the 5-Year Budget Template. All data should be entered into GREY cells.</t>
  </si>
  <si>
    <t>5-Year School Enrollment Projections</t>
  </si>
  <si>
    <t>Current Year</t>
  </si>
  <si>
    <t>Year 6</t>
  </si>
  <si>
    <t>Year 7</t>
  </si>
  <si>
    <t>Year 8</t>
  </si>
  <si>
    <t>Year 9</t>
  </si>
  <si>
    <t>Year 10</t>
  </si>
  <si>
    <t>Other Compensation (4)</t>
  </si>
  <si>
    <t>5-Year Projected Annual Operating Budget  --  Fiscal Year July 1 - June 30</t>
  </si>
  <si>
    <t>The "Adjusted Distribution" calculation from Tab 2 for Years 6 - 10.</t>
  </si>
  <si>
    <t>CHANGE IN NET ASSETS:</t>
  </si>
  <si>
    <t>Higher Institute of Arts &amp; Technology</t>
  </si>
  <si>
    <t>Instructions for Renewal Budget Workbook</t>
  </si>
  <si>
    <t>Notice Related to the Effect of the COVID-19 Pandemic</t>
  </si>
  <si>
    <r>
      <t>How "Total Distribution" is Calculated</t>
    </r>
    <r>
      <rPr>
        <sz val="10"/>
        <color indexed="8"/>
        <rFont val="Calibri"/>
        <family val="2"/>
      </rPr>
      <t>:
Basic Tuition Support (for schools with non-virtual students) is generally equal to:
     (</t>
    </r>
    <r>
      <rPr>
        <u/>
        <sz val="10"/>
        <color indexed="8"/>
        <rFont val="Calibri"/>
        <family val="2"/>
      </rPr>
      <t>Foundation Amount</t>
    </r>
    <r>
      <rPr>
        <sz val="10"/>
        <color indexed="8"/>
        <rFont val="Calibri"/>
        <family val="2"/>
      </rPr>
      <t xml:space="preserve"> X </t>
    </r>
    <r>
      <rPr>
        <u/>
        <sz val="10"/>
        <color indexed="8"/>
        <rFont val="Calibri"/>
        <family val="2"/>
      </rPr>
      <t>ADM</t>
    </r>
    <r>
      <rPr>
        <sz val="10"/>
        <color indexed="8"/>
        <rFont val="Calibri"/>
        <family val="2"/>
      </rPr>
      <t>) + ((</t>
    </r>
    <r>
      <rPr>
        <u/>
        <sz val="10"/>
        <color indexed="8"/>
        <rFont val="Calibri"/>
        <family val="2"/>
      </rPr>
      <t>Complexity Multiplier</t>
    </r>
    <r>
      <rPr>
        <sz val="10"/>
        <color indexed="8"/>
        <rFont val="Calibri"/>
        <family val="2"/>
      </rPr>
      <t xml:space="preserve">  X </t>
    </r>
    <r>
      <rPr>
        <u/>
        <sz val="10"/>
        <color indexed="8"/>
        <rFont val="Calibri"/>
        <family val="2"/>
      </rPr>
      <t>Complexity Index</t>
    </r>
    <r>
      <rPr>
        <sz val="10"/>
        <color indexed="8"/>
        <rFont val="Calibri"/>
        <family val="2"/>
      </rPr>
      <t xml:space="preserve">) X </t>
    </r>
    <r>
      <rPr>
        <u/>
        <sz val="10"/>
        <color indexed="8"/>
        <rFont val="Calibri"/>
        <family val="2"/>
      </rPr>
      <t>ADM)</t>
    </r>
    <r>
      <rPr>
        <sz val="10"/>
        <color indexed="8"/>
        <rFont val="Calibri"/>
        <family val="2"/>
      </rPr>
      <t xml:space="preserve">
 The Complexity calculation provides additional funding to school corporations serving proportionally more students from low-income families. It is based on the percentage of a school corporation's students receiving SNAP, TANF, or foster care services. For the sake of simplicity, the above calculation uses the Complexity Index for the school corporation in which the proposed charter school is located; however, as the Complexity Index is calculated based on the percentage of the specific charter school's students, the charter school's actual Complexity amount may differ. The total distribution (as adjusted) is carried over to Tab 4, Line 1 - Basic Tuition Support.
Total "State" tuition support includes "basic tuition support" plus any other "categorical" grants for which a school may be eligible (e.g., honors designation awards; special education grants; CTE grants). Average Daily Membership (ADM) is determined on two count dates (in September and February). For ADM purposes, full day Kindergarten students are counted as 1.0, half-day kindergarten students are counted as 0.5.
The FY 2021 foundation amount is $5,703. The FY 2021 complexity multiplier is $3,675. The FY 2021 Adult Grant amount for adult high schools is $6,750.</t>
    </r>
  </si>
  <si>
    <t>Student/total staff ratio</t>
  </si>
  <si>
    <t>5-Year Projected School Staffing Plan</t>
  </si>
  <si>
    <t>Please include a note in the assumptions column and budget narrative if any line item includes additional service, consulting, facility, or licensing fees paid to a management company or affiliate of a management company that are not included in Line 97 (Education Service Provider Management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</si>
  <si>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Basic Tuition Support (includes Complexity)- From Tab 2</t>
  </si>
  <si>
    <t>Honors Diploma Grant</t>
  </si>
  <si>
    <t>CTE Grant</t>
  </si>
  <si>
    <t>High Ability (Gifted and Talented) Program</t>
  </si>
  <si>
    <t>Remediation Program Grant</t>
  </si>
  <si>
    <t>Teacher Appreciation Grant</t>
  </si>
  <si>
    <t>Other State Grants (please describe) (2)</t>
  </si>
  <si>
    <t>Charter Facilities Assistance Program Grant (2011)</t>
  </si>
  <si>
    <t>Other Federal Revenue (please describe)</t>
  </si>
  <si>
    <t>Student Fees</t>
  </si>
  <si>
    <t>Administrative Staff - See Footnote (4)</t>
  </si>
  <si>
    <t>Executive Administration: Office of Superintendent</t>
  </si>
  <si>
    <t>School Administration: Office of the Principal</t>
  </si>
  <si>
    <t>Other School Administration (please describe)</t>
  </si>
  <si>
    <t>Teachers - Regular</t>
  </si>
  <si>
    <t>Instructional Staff</t>
  </si>
  <si>
    <t>Social Workers, Guidence Counselors, Therapists</t>
  </si>
  <si>
    <t>Instructional Support Staff (5)</t>
  </si>
  <si>
    <t>Other Support Staff (please describe) (6)</t>
  </si>
  <si>
    <t>Nurse</t>
  </si>
  <si>
    <t>Information Technology</t>
  </si>
  <si>
    <t>Maintenance of Buildings, Grounds, Equipment (include Custodial Staff)</t>
  </si>
  <si>
    <t>Security Personnel</t>
  </si>
  <si>
    <t>Instructional Supplies and Resources</t>
  </si>
  <si>
    <t>Library/Media Services (other than staff)</t>
  </si>
  <si>
    <t>Technology Supporting Instruction (including computers, tablets, etc.)</t>
  </si>
  <si>
    <t>Enrichment Programs (athletic or extra-curricular activities)</t>
  </si>
  <si>
    <t>Other Instructional Supplies (not including technology)</t>
  </si>
  <si>
    <t xml:space="preserve">Administrative Resources </t>
  </si>
  <si>
    <t>Administrative Technology - Computers &amp; Software (not including SiS)</t>
  </si>
  <si>
    <t>Other Administrative Expenses (please describe)</t>
  </si>
  <si>
    <t>Other Governing Board Expenses (please describe)</t>
  </si>
  <si>
    <t>Professional or Contracted Services (do not include staff salaries)</t>
  </si>
  <si>
    <t>Telecommunication and IT Services</t>
  </si>
  <si>
    <t>Insurance (non-facility)</t>
  </si>
  <si>
    <t>Mail Services</t>
  </si>
  <si>
    <t>Student Information Services or Systems</t>
  </si>
  <si>
    <t>Transportation Services (please describe)</t>
  </si>
  <si>
    <t>Other Professional or Contracted Services (please describe)</t>
  </si>
  <si>
    <t>Marketing Expenses</t>
  </si>
  <si>
    <t>Capital Improvements</t>
  </si>
  <si>
    <t>Principal Payments</t>
  </si>
  <si>
    <t>Operating Lease Payments</t>
  </si>
  <si>
    <t>Interest Payments</t>
  </si>
  <si>
    <t>Interest Expense</t>
  </si>
  <si>
    <t>Other Facility Expenses (please describe)</t>
  </si>
  <si>
    <t>ICSB Administrative Fee (7)</t>
  </si>
  <si>
    <t>Escrow (9)</t>
  </si>
  <si>
    <t>Other Expenses (please describe)</t>
  </si>
  <si>
    <t>(1) Charter schools meeting certain criteria are entitled to $750 per student to be used for capital, technology, and transportation costs. Subsequent awards depend on continued funding of the grant in the biennial budget. See Indiana Code (IC) 20-24-13.</t>
  </si>
  <si>
    <t>(2)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</si>
  <si>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(3) This is a competitive grant. Funding is not guaranteed. The funding for the PCSP grant is distributed through a reimbursement process. Contact IDOE's Office of Title Grants and Support for more information.</t>
  </si>
  <si>
    <t>(4)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</si>
  <si>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(5)  Includes Staffing for Instruction and Curriculum Development, Instructional Staff Training, etc.</t>
  </si>
  <si>
    <t>(6)  Secretary; Receptionist; Attendance Clerk; Office Manager, Cafeteria Worker, and other full or part-time employees not specifically described.</t>
  </si>
  <si>
    <t>(7)  One half percent (0.5%) of basic tuition support or adult learner grant amount received by the school.</t>
  </si>
  <si>
    <t>(9)  Schools are required to maintain an account in reserve to cover expenses for school closing.  $10,000 should be placed in reserve starting in year 2 with a balance of $30,000 by year 4.</t>
  </si>
  <si>
    <t xml:space="preserve">  - Select Sheet5(CONTROL).</t>
  </si>
  <si>
    <t>Total Taxes &amp; Benefits:</t>
  </si>
  <si>
    <r>
      <t xml:space="preserve">(1)  Amounts paid to "employees" regardless of whether they are full-time, part-time, or limited-time should be included in the </t>
    </r>
    <r>
      <rPr>
        <b/>
        <sz val="10"/>
        <color indexed="8"/>
        <rFont val="Calibri"/>
        <family val="2"/>
      </rPr>
      <t>Average Salary</t>
    </r>
    <r>
      <rPr>
        <sz val="10"/>
        <color indexed="8"/>
        <rFont val="Calibri"/>
        <family val="2"/>
      </rPr>
      <t xml:space="preserve"> column (lines 13-45) for each year. You should include all pay given to an employee for services performed, including salaries, vacation allowances, bonuses, stipends, commissions, and </t>
    </r>
    <r>
      <rPr>
        <u/>
        <sz val="10"/>
        <color indexed="8"/>
        <rFont val="Calibri"/>
        <family val="2"/>
      </rPr>
      <t>taxable</t>
    </r>
    <r>
      <rPr>
        <sz val="10"/>
        <color indexed="8"/>
        <rFont val="Calibri"/>
        <family val="2"/>
      </rPr>
      <t xml:space="preserve"> fringe benefits. For more information, see https://www.irs.gov/publications/p15. Generally, a worker who performs services for you is your "employee" if you have the right to control what will be done and how it will be done. Do not include payments made to "independent contractors" (see (4) below). </t>
    </r>
    <r>
      <rPr>
        <u/>
        <sz val="10"/>
        <color indexed="8"/>
        <rFont val="Calibri"/>
        <family val="2"/>
      </rPr>
      <t>Please note that the IRS generally considers an individual rendering services as a substitute teacher to be an employee and not an independent contractor</t>
    </r>
    <r>
      <rPr>
        <sz val="10"/>
        <color indexed="8"/>
        <rFont val="Calibri"/>
        <family val="2"/>
      </rPr>
      <t xml:space="preserve">.
(2)  </t>
    </r>
    <r>
      <rPr>
        <b/>
        <sz val="10"/>
        <color indexed="8"/>
        <rFont val="Calibri"/>
        <family val="2"/>
      </rPr>
      <t>Health Insurance</t>
    </r>
    <r>
      <rPr>
        <sz val="10"/>
        <color indexed="8"/>
        <rFont val="Calibri"/>
        <family val="2"/>
      </rPr>
      <t xml:space="preserve"> and </t>
    </r>
    <r>
      <rPr>
        <b/>
        <sz val="10"/>
        <color indexed="8"/>
        <rFont val="Calibri"/>
        <family val="2"/>
      </rPr>
      <t>Retirement Contributions</t>
    </r>
    <r>
      <rPr>
        <sz val="10"/>
        <color indexed="8"/>
        <rFont val="Calibri"/>
        <family val="2"/>
      </rPr>
      <t xml:space="preserve"> should be calculated as a per employee expense and entered manually on lines 51 &amp; 52 for each year.
(3)  </t>
    </r>
    <r>
      <rPr>
        <b/>
        <sz val="10"/>
        <color indexed="8"/>
        <rFont val="Calibri"/>
        <family val="2"/>
      </rPr>
      <t>Social Security</t>
    </r>
    <r>
      <rPr>
        <sz val="10"/>
        <color indexed="8"/>
        <rFont val="Calibri"/>
        <family val="2"/>
      </rPr>
      <t xml:space="preserve">, </t>
    </r>
    <r>
      <rPr>
        <b/>
        <sz val="10"/>
        <color indexed="8"/>
        <rFont val="Calibri"/>
        <family val="2"/>
      </rPr>
      <t>Medicare</t>
    </r>
    <r>
      <rPr>
        <sz val="10"/>
        <color indexed="8"/>
        <rFont val="Calibri"/>
        <family val="2"/>
      </rPr>
      <t>, and</t>
    </r>
    <r>
      <rPr>
        <b/>
        <sz val="10"/>
        <color indexed="8"/>
        <rFont val="Calibri"/>
        <family val="2"/>
      </rPr>
      <t xml:space="preserve"> Unemployment</t>
    </r>
    <r>
      <rPr>
        <sz val="10"/>
        <color indexed="8"/>
        <rFont val="Calibri"/>
        <family val="2"/>
      </rPr>
      <t xml:space="preserve"> are "employment taxes" which must be collected by the employer for all wages paid to individuals who are considered employees. The Worksheet calculates these amounts automatically based on the information entered in the Average Salary column for each year.
(4)  Include all other compensation, including non-taxable benefits (e.g., educational assistance, dependent care assistance, transportation benefits, non-taxable fringe benefits, etc.). In addition, all amounts paid to "independent contractors" should be listed in the </t>
    </r>
    <r>
      <rPr>
        <b/>
        <sz val="10"/>
        <color indexed="8"/>
        <rFont val="Calibri"/>
        <family val="2"/>
      </rPr>
      <t>Other Compensation</t>
    </r>
    <r>
      <rPr>
        <sz val="10"/>
        <color indexed="8"/>
        <rFont val="Calibri"/>
        <family val="2"/>
      </rPr>
      <t xml:space="preserve"> line (line 56) and explained in the budget narrative. The general rule is that an individual is an independent contractor if you have the right to control or direct only the result of the work and not what will be done and how it will be done. There are many factors used by the IRS to determine whether an individual is an independent contractor.  See, https://www.irs.gov/businesses/small-businesses-self-employed/independent-contractor-self-employed-or-employee. </t>
    </r>
  </si>
  <si>
    <t>• Please complete the enrollment table for the school's current year, and provide enrollment projections for the next five (5) years beginning with the Renewal Year.</t>
  </si>
  <si>
    <t>• Please provide a list of administrative, instructional, and other staff along with estimates of proposed salaries and benefits for both the current year and the next five (5) years. Please include both full and part-time employees and contractors. Projected salary and benefits should align with the 5-Year budget.</t>
  </si>
  <si>
    <t>• Please provide the most recent version of the current years budget (as approved by the school's governing board) as well as budget projections for the next 5 years. Tab 5 will show "ERROR" if the information provided in Tab 3 does not align with the personnel expenses provided in Tab 5.</t>
  </si>
  <si>
    <r>
      <t xml:space="preserve">The "Total Distribution" calculation is an </t>
    </r>
    <r>
      <rPr>
        <u/>
        <sz val="10"/>
        <color indexed="8"/>
        <rFont val="Calibri"/>
        <family val="2"/>
      </rPr>
      <t>estimate</t>
    </r>
    <r>
      <rPr>
        <sz val="10"/>
        <color indexed="8"/>
        <rFont val="Calibri"/>
        <family val="2"/>
      </rPr>
      <t xml:space="preserve"> based on the current 2019-21 State budget. Actual tuition support for Year 6 and beyond will not be known until the 2022-24 budget bill is enacted during the 2021 legislative session. The State of Indiana had a significant shortfall in revenue in FY 2020 and expects an even more significant shortfall in FY 2021 due to the COVID-19 pandemic. As a result, there is a possiblity that tuition support for 2021-22 (Year 6) and beyond may be lower than it was in 2020-21, and could remain static or low for some years. The "Adjusted Distribution" calculation is a new calculation that attempts to account for this possibility by reducing the total distribution for Year 6 by 5%, Years 7 &amp; 8 by 3%, and Years 9 &amp; 10 by 1%. No reduction is applied to the Current Year calculation. </t>
    </r>
    <r>
      <rPr>
        <b/>
        <sz val="10"/>
        <color indexed="8"/>
        <rFont val="Calibri"/>
        <family val="2"/>
      </rPr>
      <t>We strongly suggest that schools remain conservative in all budget projections for the next few years</t>
    </r>
    <r>
      <rPr>
        <sz val="10"/>
        <color indexed="8"/>
        <rFont val="Calibri"/>
        <family val="2"/>
      </rPr>
      <t>.</t>
    </r>
  </si>
  <si>
    <t>State Revenue - See Footnotes</t>
  </si>
  <si>
    <t>Total State Revenue:</t>
  </si>
  <si>
    <t>Total Federal Revenue:</t>
  </si>
  <si>
    <t>Total Other Revenue:</t>
  </si>
  <si>
    <t>TOTAL REVENUE:</t>
  </si>
  <si>
    <t>Purchase of Furniture, Fixtures, and Equipment</t>
  </si>
  <si>
    <r>
      <t xml:space="preserve">Management Fee - </t>
    </r>
    <r>
      <rPr>
        <sz val="10"/>
        <color indexed="10"/>
        <rFont val="Calibri"/>
        <family val="2"/>
      </rPr>
      <t>See Note at top of Worksheet &amp; fn (8).</t>
    </r>
  </si>
  <si>
    <r>
      <t xml:space="preserve">(8)  Include only those fees (per-pupil, contingent, or fixed) paid to a management company for educational or management services and describe how the fee is calculated in the budget narrative. All </t>
    </r>
    <r>
      <rPr>
        <u/>
        <sz val="10"/>
        <color theme="1"/>
        <rFont val="Calibri"/>
        <family val="2"/>
        <scheme val="minor"/>
      </rPr>
      <t>other or additional</t>
    </r>
    <r>
      <rPr>
        <sz val="10"/>
        <color theme="1"/>
        <rFont val="Calibri"/>
        <family val="2"/>
        <scheme val="minor"/>
      </rPr>
      <t xml:space="preserve"> amounts paid to a management company or affiliate of the management company (e.g., lease payments, software, instructional material) must be accounted for, </t>
    </r>
    <r>
      <rPr>
        <u/>
        <sz val="10"/>
        <color theme="1"/>
        <rFont val="Calibri"/>
        <family val="2"/>
        <scheme val="minor"/>
      </rPr>
      <t>and described</t>
    </r>
    <r>
      <rPr>
        <sz val="10"/>
        <color theme="1"/>
        <rFont val="Calibri"/>
        <family val="2"/>
        <scheme val="minor"/>
      </rPr>
      <t>, elsewhere in this worksheet.</t>
    </r>
  </si>
  <si>
    <t>Facilities Expenses</t>
  </si>
  <si>
    <t>Lease/Mortgage Payments (Facility)</t>
  </si>
  <si>
    <t>Depreciation Expense</t>
  </si>
  <si>
    <t>Insurance (Facility</t>
  </si>
  <si>
    <t>Electric &amp; Gas</t>
  </si>
  <si>
    <t>Water &amp; Sewage</t>
  </si>
  <si>
    <t>Waste Disposal</t>
  </si>
  <si>
    <t>Security Services</t>
  </si>
  <si>
    <t>Custodial Services (include supply costs)</t>
  </si>
  <si>
    <t>Repair and Maintenance Services (include supply costs)</t>
  </si>
  <si>
    <t>CARES act</t>
  </si>
  <si>
    <t>Allowance for ICSB fees or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</si>
</sst>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
    <numFmt numFmtId="168" formatCode="0.0000"/>
    <numFmt numFmtId="169" formatCode="###0.0000;###0.0000"/>
    <numFmt numFmtId="170" formatCode="&quot;$&quot;#,##0.00"/>
  </numFmts>
  <fonts count="45" x14ac:knownFonts="1">
    <font>
      <sz val="11"/>
      <color theme="1"/>
      <name val="Calibri"/>
      <family val="2"/>
      <scheme val="minor"/>
    </font>
    <font>
      <sz val="10"/>
      <name val="Arial"/>
      <family val="2"/>
    </font>
    <font>
      <b/>
      <sz val="14"/>
      <name val="Calibri"/>
      <family val="2"/>
    </font>
    <font>
      <b/>
      <sz val="10"/>
      <name val="Calibri"/>
      <family val="2"/>
    </font>
    <font>
      <sz val="10"/>
      <name val="Calibri"/>
      <family val="2"/>
    </font>
    <font>
      <b/>
      <i/>
      <sz val="10"/>
      <name val="Calibri"/>
      <family val="2"/>
    </font>
    <font>
      <sz val="10"/>
      <name val="Verdana"/>
      <family val="2"/>
    </font>
    <font>
      <sz val="10"/>
      <color indexed="8"/>
      <name val="Calibri"/>
      <family val="2"/>
    </font>
    <font>
      <sz val="9"/>
      <color indexed="81"/>
      <name val="Tahoma"/>
      <family val="2"/>
    </font>
    <font>
      <b/>
      <sz val="10"/>
      <color indexed="8"/>
      <name val="Calibri"/>
      <family val="2"/>
    </font>
    <font>
      <u/>
      <sz val="10"/>
      <color indexed="8"/>
      <name val="Calibri"/>
      <family val="2"/>
    </font>
    <font>
      <sz val="11"/>
      <color theme="1"/>
      <name val="Calibri"/>
      <family val="2"/>
      <scheme val="minor"/>
    </font>
    <font>
      <u/>
      <sz val="10"/>
      <color theme="10"/>
      <name val="Arial"/>
      <family val="2"/>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font>
    <font>
      <sz val="10"/>
      <name val="Calibri"/>
      <family val="2"/>
      <scheme val="minor"/>
    </font>
    <font>
      <b/>
      <u/>
      <sz val="10"/>
      <color theme="1"/>
      <name val="Calibri"/>
      <family val="2"/>
      <scheme val="minor"/>
    </font>
    <font>
      <b/>
      <sz val="10"/>
      <color rgb="FFFF0000"/>
      <name val="Calibri"/>
      <family val="2"/>
      <scheme val="minor"/>
    </font>
    <font>
      <sz val="10"/>
      <color theme="1"/>
      <name val="Calibri"/>
      <family val="2"/>
    </font>
    <font>
      <b/>
      <sz val="10"/>
      <color theme="1"/>
      <name val="Calibri"/>
      <family val="2"/>
    </font>
    <font>
      <sz val="10"/>
      <color rgb="FF0070C0"/>
      <name val="Calibri"/>
      <family val="2"/>
    </font>
    <font>
      <b/>
      <sz val="10"/>
      <name val="Calibri"/>
      <family val="2"/>
      <scheme val="minor"/>
    </font>
    <font>
      <sz val="11"/>
      <name val="Calibri"/>
      <family val="2"/>
      <scheme val="minor"/>
    </font>
    <font>
      <b/>
      <sz val="10"/>
      <color theme="0"/>
      <name val="Calibri"/>
      <family val="2"/>
      <scheme val="minor"/>
    </font>
    <font>
      <b/>
      <i/>
      <sz val="10"/>
      <name val="Calibri"/>
      <family val="2"/>
      <scheme val="minor"/>
    </font>
    <font>
      <i/>
      <sz val="10"/>
      <name val="Calibri"/>
      <family val="2"/>
      <scheme val="minor"/>
    </font>
    <font>
      <sz val="10"/>
      <color theme="3" tint="0.39997558519241921"/>
      <name val="Calibri"/>
      <family val="2"/>
      <scheme val="minor"/>
    </font>
    <font>
      <i/>
      <sz val="10"/>
      <color theme="1"/>
      <name val="Calibri"/>
      <family val="2"/>
      <scheme val="minor"/>
    </font>
    <font>
      <b/>
      <i/>
      <sz val="10"/>
      <color rgb="FFFF0000"/>
      <name val="Calibri"/>
      <family val="2"/>
      <scheme val="minor"/>
    </font>
    <font>
      <u/>
      <sz val="10"/>
      <color theme="10"/>
      <name val="Calibri"/>
      <family val="2"/>
      <scheme val="minor"/>
    </font>
    <font>
      <b/>
      <sz val="14"/>
      <color theme="1"/>
      <name val="Calibri"/>
      <family val="2"/>
      <scheme val="minor"/>
    </font>
    <font>
      <sz val="10"/>
      <color rgb="FF000000"/>
      <name val="Calibri"/>
      <family val="2"/>
      <scheme val="minor"/>
    </font>
    <font>
      <sz val="14"/>
      <color theme="1"/>
      <name val="Calibri"/>
      <family val="2"/>
    </font>
    <font>
      <b/>
      <sz val="14"/>
      <color theme="1"/>
      <name val="Calibri"/>
      <family val="2"/>
    </font>
    <font>
      <b/>
      <sz val="14"/>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0"/>
      <color rgb="FFFF0000"/>
      <name val="Calibri"/>
      <family val="2"/>
    </font>
    <font>
      <b/>
      <sz val="11"/>
      <color theme="1"/>
      <name val="Calibri"/>
      <family val="2"/>
    </font>
    <font>
      <b/>
      <u/>
      <sz val="11"/>
      <name val="Calibri"/>
      <family val="2"/>
      <scheme val="minor"/>
    </font>
    <font>
      <sz val="10"/>
      <color indexed="10"/>
      <name val="Calibri"/>
      <family val="2"/>
    </font>
    <font>
      <u/>
      <sz val="10"/>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theme="4" tint="0.79998168889431442"/>
      </patternFill>
    </fill>
    <fill>
      <patternFill patternType="solid">
        <fgColor theme="4"/>
        <bgColor theme="4"/>
      </patternFill>
    </fill>
  </fills>
  <borders count="29">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style="thin">
        <color theme="0"/>
      </bottom>
      <diagonal/>
    </border>
  </borders>
  <cellStyleXfs count="7">
    <xf numFmtId="0" fontId="0" fillId="0" borderId="0"/>
    <xf numFmtId="44" fontId="1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0" fontId="1" fillId="0" borderId="0"/>
    <xf numFmtId="0" fontId="1" fillId="0" borderId="0"/>
    <xf numFmtId="0" fontId="6" fillId="0" borderId="0"/>
  </cellStyleXfs>
  <cellXfs count="534">
    <xf numFmtId="0" fontId="0" fillId="0" borderId="0" xfId="0"/>
    <xf numFmtId="0" fontId="14" fillId="0" borderId="0" xfId="0" applyFont="1" applyProtection="1"/>
    <xf numFmtId="0" fontId="14" fillId="4" borderId="0" xfId="0" applyFont="1" applyFill="1" applyBorder="1" applyAlignment="1" applyProtection="1">
      <alignment vertical="center"/>
    </xf>
    <xf numFmtId="49" fontId="14" fillId="4" borderId="0" xfId="0" applyNumberFormat="1" applyFont="1" applyFill="1" applyBorder="1" applyAlignment="1" applyProtection="1">
      <alignment vertical="center"/>
    </xf>
    <xf numFmtId="0" fontId="15" fillId="4" borderId="0" xfId="0" applyFont="1" applyFill="1" applyBorder="1" applyAlignment="1" applyProtection="1">
      <alignment vertical="center"/>
    </xf>
    <xf numFmtId="0" fontId="15" fillId="4" borderId="1" xfId="0" applyFont="1" applyFill="1" applyBorder="1" applyAlignment="1" applyProtection="1">
      <alignment vertical="center"/>
    </xf>
    <xf numFmtId="0" fontId="14" fillId="4" borderId="1" xfId="0" applyFont="1" applyFill="1" applyBorder="1" applyAlignment="1" applyProtection="1">
      <alignment vertical="center"/>
    </xf>
    <xf numFmtId="0" fontId="15" fillId="0" borderId="0" xfId="0" applyFont="1" applyFill="1" applyAlignment="1" applyProtection="1">
      <alignment horizontal="center" vertical="center"/>
    </xf>
    <xf numFmtId="49" fontId="14" fillId="0" borderId="0" xfId="0" applyNumberFormat="1" applyFont="1" applyFill="1" applyAlignment="1" applyProtection="1">
      <alignment vertical="center"/>
    </xf>
    <xf numFmtId="0" fontId="14" fillId="0" borderId="0" xfId="0" applyFont="1" applyFill="1" applyAlignment="1" applyProtection="1">
      <alignment vertical="center"/>
    </xf>
    <xf numFmtId="0" fontId="4" fillId="4" borderId="7" xfId="5" applyFont="1" applyFill="1" applyBorder="1" applyProtection="1"/>
    <xf numFmtId="0" fontId="16" fillId="4" borderId="0" xfId="3" applyFont="1" applyFill="1" applyAlignment="1" applyProtection="1"/>
    <xf numFmtId="0" fontId="4" fillId="4" borderId="0" xfId="5" applyFont="1" applyFill="1" applyBorder="1" applyAlignment="1" applyProtection="1">
      <alignment vertical="center"/>
    </xf>
    <xf numFmtId="0" fontId="15" fillId="4" borderId="3"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7" fillId="5" borderId="12" xfId="0" applyFont="1" applyFill="1" applyBorder="1" applyAlignment="1" applyProtection="1">
      <alignment vertical="center"/>
      <protection locked="0"/>
    </xf>
    <xf numFmtId="44" fontId="17" fillId="5" borderId="14" xfId="0" applyNumberFormat="1" applyFont="1" applyFill="1" applyBorder="1" applyAlignment="1" applyProtection="1">
      <alignment horizontal="center" vertical="center"/>
      <protection locked="0"/>
    </xf>
    <xf numFmtId="0" fontId="17" fillId="5" borderId="15" xfId="0" applyFont="1" applyFill="1" applyBorder="1" applyAlignment="1" applyProtection="1">
      <alignment vertical="center"/>
      <protection locked="0"/>
    </xf>
    <xf numFmtId="0" fontId="17" fillId="5" borderId="15" xfId="0" applyFont="1" applyFill="1" applyBorder="1" applyAlignment="1" applyProtection="1">
      <alignment horizontal="left" vertical="center"/>
      <protection locked="0"/>
    </xf>
    <xf numFmtId="0" fontId="17" fillId="5" borderId="15" xfId="0" applyFont="1" applyFill="1" applyBorder="1" applyAlignment="1" applyProtection="1">
      <alignment vertical="center" wrapText="1"/>
      <protection locked="0"/>
    </xf>
    <xf numFmtId="49" fontId="15" fillId="4" borderId="0" xfId="0" applyNumberFormat="1" applyFont="1" applyFill="1" applyBorder="1" applyAlignment="1" applyProtection="1">
      <alignment vertical="center"/>
    </xf>
    <xf numFmtId="0" fontId="15" fillId="4" borderId="16" xfId="0" applyFont="1" applyFill="1" applyBorder="1" applyAlignment="1" applyProtection="1">
      <alignment horizontal="center" vertical="center"/>
    </xf>
    <xf numFmtId="0" fontId="15" fillId="4" borderId="17" xfId="0" applyFont="1" applyFill="1" applyBorder="1" applyAlignment="1" applyProtection="1">
      <alignment horizontal="center" vertical="center"/>
    </xf>
    <xf numFmtId="0" fontId="15" fillId="4" borderId="18" xfId="0" applyFont="1" applyFill="1" applyBorder="1" applyAlignment="1" applyProtection="1">
      <alignment horizontal="center" vertical="center"/>
    </xf>
    <xf numFmtId="49" fontId="15" fillId="4" borderId="18" xfId="0" applyNumberFormat="1" applyFont="1" applyFill="1" applyBorder="1" applyAlignment="1" applyProtection="1">
      <alignment vertical="center"/>
    </xf>
    <xf numFmtId="0" fontId="14" fillId="4" borderId="0" xfId="0" applyFont="1" applyFill="1" applyBorder="1" applyProtection="1"/>
    <xf numFmtId="0" fontId="14" fillId="4" borderId="0" xfId="0" applyFont="1" applyFill="1" applyBorder="1" applyAlignment="1" applyProtection="1">
      <alignment vertical="center" wrapText="1"/>
    </xf>
    <xf numFmtId="49" fontId="15" fillId="4" borderId="7" xfId="0" applyNumberFormat="1" applyFont="1" applyFill="1" applyBorder="1" applyAlignment="1" applyProtection="1">
      <alignment horizontal="right" vertical="center"/>
    </xf>
    <xf numFmtId="0" fontId="14" fillId="4" borderId="6" xfId="0" applyFont="1" applyFill="1" applyBorder="1" applyProtection="1"/>
    <xf numFmtId="49" fontId="15" fillId="4" borderId="1" xfId="0" applyNumberFormat="1" applyFont="1" applyFill="1" applyBorder="1" applyAlignment="1" applyProtection="1">
      <alignment vertical="center"/>
    </xf>
    <xf numFmtId="0" fontId="15" fillId="4" borderId="1" xfId="0" applyFont="1" applyFill="1" applyBorder="1" applyAlignment="1" applyProtection="1">
      <alignment horizontal="center" vertical="center"/>
    </xf>
    <xf numFmtId="0" fontId="14" fillId="0" borderId="5" xfId="0" applyFont="1" applyFill="1" applyBorder="1" applyProtection="1"/>
    <xf numFmtId="49" fontId="14" fillId="4" borderId="16" xfId="0" applyNumberFormat="1" applyFont="1" applyFill="1" applyBorder="1" applyAlignment="1" applyProtection="1">
      <alignment vertical="center"/>
    </xf>
    <xf numFmtId="49" fontId="14" fillId="4" borderId="18" xfId="0" applyNumberFormat="1" applyFont="1" applyFill="1" applyBorder="1" applyAlignment="1" applyProtection="1">
      <alignment vertical="center"/>
    </xf>
    <xf numFmtId="49" fontId="14" fillId="4" borderId="17" xfId="0" applyNumberFormat="1" applyFont="1" applyFill="1" applyBorder="1" applyAlignment="1" applyProtection="1">
      <alignment vertical="center"/>
    </xf>
    <xf numFmtId="49" fontId="15" fillId="4" borderId="19" xfId="0" applyNumberFormat="1" applyFont="1" applyFill="1" applyBorder="1" applyAlignment="1" applyProtection="1">
      <alignment vertical="center"/>
    </xf>
    <xf numFmtId="0" fontId="14" fillId="4" borderId="5" xfId="0" applyFont="1" applyFill="1" applyBorder="1" applyProtection="1"/>
    <xf numFmtId="0" fontId="14" fillId="0" borderId="0" xfId="0" applyFont="1" applyFill="1" applyBorder="1" applyProtection="1"/>
    <xf numFmtId="49" fontId="15" fillId="4" borderId="18" xfId="0" applyNumberFormat="1" applyFont="1" applyFill="1" applyBorder="1" applyAlignment="1" applyProtection="1">
      <alignment horizontal="right" vertical="center"/>
    </xf>
    <xf numFmtId="44" fontId="17" fillId="5" borderId="15" xfId="0" applyNumberFormat="1" applyFont="1" applyFill="1" applyBorder="1" applyAlignment="1" applyProtection="1">
      <alignment horizontal="center" vertical="center"/>
      <protection locked="0"/>
    </xf>
    <xf numFmtId="0" fontId="19" fillId="6" borderId="15" xfId="0" applyFont="1" applyFill="1" applyBorder="1" applyAlignment="1" applyProtection="1">
      <alignment vertical="center" wrapText="1"/>
      <protection locked="0"/>
    </xf>
    <xf numFmtId="4" fontId="19" fillId="6" borderId="15" xfId="0" applyNumberFormat="1" applyFont="1" applyFill="1" applyBorder="1" applyAlignment="1" applyProtection="1">
      <alignment vertical="center" wrapText="1"/>
      <protection locked="0"/>
    </xf>
    <xf numFmtId="0" fontId="4" fillId="6" borderId="15" xfId="5" applyFont="1" applyFill="1" applyBorder="1" applyAlignment="1" applyProtection="1">
      <alignment horizontal="center" vertical="center"/>
      <protection locked="0"/>
    </xf>
    <xf numFmtId="0" fontId="4" fillId="6" borderId="20" xfId="5" applyFont="1" applyFill="1" applyBorder="1" applyAlignment="1" applyProtection="1">
      <alignment horizontal="center" vertical="center"/>
      <protection locked="0"/>
    </xf>
    <xf numFmtId="0" fontId="20" fillId="0" borderId="0" xfId="0" applyFont="1" applyFill="1" applyProtection="1"/>
    <xf numFmtId="0" fontId="20" fillId="4" borderId="2" xfId="0" applyFont="1" applyFill="1" applyBorder="1" applyProtection="1"/>
    <xf numFmtId="0" fontId="20" fillId="4" borderId="3" xfId="0" applyFont="1" applyFill="1" applyBorder="1" applyProtection="1"/>
    <xf numFmtId="0" fontId="20" fillId="4" borderId="4" xfId="0" applyFont="1" applyFill="1" applyBorder="1" applyProtection="1"/>
    <xf numFmtId="0" fontId="20" fillId="4" borderId="5" xfId="0" applyFont="1" applyFill="1" applyBorder="1" applyProtection="1"/>
    <xf numFmtId="0" fontId="20" fillId="4" borderId="0" xfId="0" applyFont="1" applyFill="1" applyBorder="1" applyProtection="1"/>
    <xf numFmtId="0" fontId="0" fillId="4" borderId="0" xfId="0" applyFill="1" applyAlignment="1" applyProtection="1">
      <alignment horizontal="center" vertical="center"/>
    </xf>
    <xf numFmtId="0" fontId="20" fillId="4" borderId="6" xfId="0" applyFont="1" applyFill="1" applyBorder="1" applyProtection="1"/>
    <xf numFmtId="0" fontId="21" fillId="4" borderId="0" xfId="0" applyFont="1" applyFill="1" applyBorder="1" applyAlignment="1" applyProtection="1">
      <alignment vertical="center"/>
    </xf>
    <xf numFmtId="49" fontId="20" fillId="4" borderId="0" xfId="1" applyNumberFormat="1" applyFont="1" applyFill="1" applyBorder="1" applyAlignment="1" applyProtection="1">
      <alignment vertical="center"/>
    </xf>
    <xf numFmtId="0" fontId="21" fillId="4" borderId="0" xfId="1" quotePrefix="1" applyNumberFormat="1" applyFont="1" applyFill="1" applyBorder="1" applyAlignment="1" applyProtection="1">
      <alignment vertical="center"/>
    </xf>
    <xf numFmtId="0" fontId="20" fillId="4" borderId="0" xfId="0" applyFont="1" applyFill="1" applyBorder="1" applyAlignment="1" applyProtection="1">
      <alignment vertical="center"/>
    </xf>
    <xf numFmtId="0" fontId="20" fillId="4" borderId="0" xfId="0" applyFont="1" applyFill="1" applyBorder="1" applyAlignment="1" applyProtection="1">
      <alignment vertical="center" wrapText="1"/>
    </xf>
    <xf numFmtId="165" fontId="20" fillId="4" borderId="0" xfId="1" applyNumberFormat="1" applyFont="1" applyFill="1" applyBorder="1" applyAlignment="1" applyProtection="1">
      <alignment vertical="center"/>
    </xf>
    <xf numFmtId="0" fontId="20" fillId="4" borderId="16" xfId="0" applyFont="1" applyFill="1" applyBorder="1" applyProtection="1"/>
    <xf numFmtId="0" fontId="3" fillId="4" borderId="1" xfId="5" applyFont="1" applyFill="1" applyBorder="1" applyAlignment="1" applyProtection="1">
      <alignment horizontal="center" vertical="center"/>
    </xf>
    <xf numFmtId="0" fontId="3" fillId="4" borderId="14" xfId="5" applyFont="1" applyFill="1" applyBorder="1" applyAlignment="1" applyProtection="1">
      <alignment horizontal="center" vertical="center"/>
    </xf>
    <xf numFmtId="0" fontId="3" fillId="4" borderId="21" xfId="5" applyFont="1" applyFill="1" applyBorder="1" applyAlignment="1" applyProtection="1">
      <alignment horizontal="center" vertical="center"/>
    </xf>
    <xf numFmtId="0" fontId="20" fillId="4" borderId="17" xfId="0" applyFont="1" applyFill="1" applyBorder="1" applyProtection="1"/>
    <xf numFmtId="0" fontId="3" fillId="4" borderId="0" xfId="5" applyFont="1" applyFill="1" applyBorder="1" applyAlignment="1" applyProtection="1">
      <alignment horizontal="center" vertical="center"/>
    </xf>
    <xf numFmtId="0" fontId="3" fillId="4" borderId="22" xfId="5" applyFont="1" applyFill="1" applyBorder="1" applyAlignment="1" applyProtection="1">
      <alignment horizontal="center" vertical="center"/>
    </xf>
    <xf numFmtId="0" fontId="4" fillId="4" borderId="22" xfId="5" applyFont="1" applyFill="1" applyBorder="1" applyAlignment="1" applyProtection="1">
      <alignment horizontal="center" vertical="center"/>
    </xf>
    <xf numFmtId="0" fontId="22" fillId="4" borderId="11" xfId="5" applyFont="1" applyFill="1" applyBorder="1" applyAlignment="1" applyProtection="1">
      <alignment horizontal="center" vertical="center"/>
    </xf>
    <xf numFmtId="0" fontId="3" fillId="4" borderId="22" xfId="5" applyFont="1" applyFill="1" applyBorder="1" applyAlignment="1" applyProtection="1">
      <alignment horizontal="left" vertical="center"/>
    </xf>
    <xf numFmtId="1" fontId="4" fillId="4" borderId="12" xfId="5" applyNumberFormat="1" applyFont="1" applyFill="1" applyBorder="1" applyAlignment="1" applyProtection="1">
      <alignment horizontal="center" vertical="center"/>
    </xf>
    <xf numFmtId="1" fontId="4" fillId="4" borderId="11" xfId="5" applyNumberFormat="1" applyFont="1" applyFill="1" applyBorder="1" applyAlignment="1" applyProtection="1">
      <alignment horizontal="center" vertical="center"/>
    </xf>
    <xf numFmtId="0" fontId="3" fillId="4" borderId="0" xfId="5" applyFont="1" applyFill="1" applyBorder="1" applyAlignment="1" applyProtection="1">
      <alignment horizontal="left" vertical="center"/>
    </xf>
    <xf numFmtId="1" fontId="4" fillId="4" borderId="0" xfId="5" applyNumberFormat="1" applyFont="1" applyFill="1" applyBorder="1" applyAlignment="1" applyProtection="1">
      <alignment horizontal="center" vertical="center"/>
    </xf>
    <xf numFmtId="1" fontId="4" fillId="4" borderId="14" xfId="5" applyNumberFormat="1" applyFont="1" applyFill="1" applyBorder="1" applyAlignment="1" applyProtection="1">
      <alignment horizontal="center" vertical="center"/>
    </xf>
    <xf numFmtId="1" fontId="4" fillId="4" borderId="22" xfId="5"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65" fontId="23" fillId="0" borderId="0" xfId="1" applyNumberFormat="1" applyFont="1" applyFill="1" applyBorder="1" applyAlignment="1" applyProtection="1">
      <alignment horizontal="right" vertical="center"/>
    </xf>
    <xf numFmtId="1" fontId="4" fillId="4" borderId="1" xfId="5" applyNumberFormat="1" applyFont="1" applyFill="1" applyBorder="1" applyAlignment="1" applyProtection="1">
      <alignment horizontal="center" vertical="center"/>
    </xf>
    <xf numFmtId="44" fontId="20" fillId="0" borderId="15" xfId="0" applyNumberFormat="1" applyFont="1" applyFill="1" applyBorder="1" applyProtection="1"/>
    <xf numFmtId="0" fontId="20" fillId="4" borderId="18" xfId="0" applyFont="1" applyFill="1" applyBorder="1" applyProtection="1"/>
    <xf numFmtId="0" fontId="5" fillId="4" borderId="7" xfId="5" applyFont="1" applyFill="1" applyBorder="1" applyAlignment="1" applyProtection="1">
      <alignment horizontal="center"/>
    </xf>
    <xf numFmtId="0" fontId="4" fillId="4" borderId="19" xfId="5" applyFont="1" applyFill="1" applyBorder="1" applyProtection="1"/>
    <xf numFmtId="6" fontId="14" fillId="0" borderId="0" xfId="0" applyNumberFormat="1" applyFont="1" applyFill="1" applyBorder="1" applyAlignment="1" applyProtection="1">
      <alignment horizontal="right" vertical="center"/>
    </xf>
    <xf numFmtId="0" fontId="20" fillId="4" borderId="8" xfId="0" applyFont="1" applyFill="1" applyBorder="1" applyProtection="1"/>
    <xf numFmtId="0" fontId="20" fillId="4" borderId="9" xfId="0" applyFont="1" applyFill="1" applyBorder="1" applyProtection="1"/>
    <xf numFmtId="0" fontId="20" fillId="4" borderId="10" xfId="0" applyFont="1" applyFill="1" applyBorder="1" applyProtection="1"/>
    <xf numFmtId="0" fontId="14" fillId="0" borderId="0" xfId="0" applyFont="1" applyFill="1" applyBorder="1" applyAlignment="1" applyProtection="1">
      <alignment horizontal="right" vertical="center"/>
    </xf>
    <xf numFmtId="6" fontId="15" fillId="0" borderId="0" xfId="0" applyNumberFormat="1" applyFont="1" applyFill="1" applyBorder="1" applyAlignment="1" applyProtection="1">
      <alignment horizontal="right" vertical="center"/>
    </xf>
    <xf numFmtId="1" fontId="4" fillId="6" borderId="15" xfId="5" applyNumberFormat="1" applyFont="1" applyFill="1" applyBorder="1" applyAlignment="1" applyProtection="1">
      <alignment horizontal="center" vertical="center"/>
      <protection locked="0"/>
    </xf>
    <xf numFmtId="0" fontId="21" fillId="0" borderId="0" xfId="0" applyFont="1" applyFill="1" applyBorder="1" applyProtection="1"/>
    <xf numFmtId="0" fontId="20" fillId="0" borderId="0" xfId="0" applyFont="1" applyFill="1" applyBorder="1" applyProtection="1"/>
    <xf numFmtId="0" fontId="4" fillId="0" borderId="0" xfId="0" applyFont="1" applyFill="1" applyBorder="1" applyAlignment="1" applyProtection="1">
      <alignment horizontal="left"/>
    </xf>
    <xf numFmtId="0" fontId="20"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17" fillId="0" borderId="0" xfId="0" applyFont="1" applyFill="1" applyProtection="1"/>
    <xf numFmtId="0" fontId="17" fillId="0" borderId="0" xfId="0" applyFont="1" applyFill="1" applyBorder="1" applyProtection="1"/>
    <xf numFmtId="0" fontId="17" fillId="4" borderId="2" xfId="0" applyFont="1" applyFill="1" applyBorder="1" applyAlignment="1" applyProtection="1">
      <alignment vertical="center"/>
    </xf>
    <xf numFmtId="0" fontId="17" fillId="4" borderId="4" xfId="0" applyFont="1" applyFill="1" applyBorder="1" applyAlignment="1" applyProtection="1">
      <alignment vertical="center"/>
    </xf>
    <xf numFmtId="0" fontId="17" fillId="0" borderId="0" xfId="0" applyFont="1" applyBorder="1" applyProtection="1"/>
    <xf numFmtId="0" fontId="17" fillId="0" borderId="0" xfId="0" applyFont="1" applyProtection="1"/>
    <xf numFmtId="0" fontId="17" fillId="4" borderId="5" xfId="0" applyFont="1" applyFill="1" applyBorder="1" applyAlignment="1" applyProtection="1">
      <alignment vertical="center"/>
    </xf>
    <xf numFmtId="0" fontId="1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23" fillId="4" borderId="0" xfId="0" applyFont="1" applyFill="1" applyBorder="1" applyAlignment="1" applyProtection="1">
      <alignment horizontal="left" vertical="center"/>
    </xf>
    <xf numFmtId="0" fontId="23" fillId="4" borderId="0" xfId="0" applyFont="1" applyFill="1" applyBorder="1" applyAlignment="1" applyProtection="1">
      <alignment horizontal="center" vertical="center"/>
    </xf>
    <xf numFmtId="0" fontId="17" fillId="4" borderId="6" xfId="0" applyFont="1" applyFill="1" applyBorder="1" applyAlignment="1" applyProtection="1">
      <alignment vertical="center"/>
    </xf>
    <xf numFmtId="0" fontId="23" fillId="0" borderId="0" xfId="0" applyFont="1" applyFill="1" applyProtection="1"/>
    <xf numFmtId="0" fontId="23" fillId="4" borderId="5" xfId="0" applyFont="1" applyFill="1" applyBorder="1" applyAlignment="1" applyProtection="1">
      <alignment vertical="center"/>
    </xf>
    <xf numFmtId="0" fontId="23" fillId="4" borderId="6" xfId="0" applyFont="1" applyFill="1" applyBorder="1" applyAlignment="1" applyProtection="1">
      <alignment vertical="center"/>
    </xf>
    <xf numFmtId="0" fontId="23" fillId="0" borderId="0" xfId="0" applyFont="1" applyBorder="1" applyProtection="1"/>
    <xf numFmtId="0" fontId="23" fillId="0" borderId="0" xfId="0" applyFont="1" applyProtection="1"/>
    <xf numFmtId="0" fontId="17" fillId="4" borderId="16" xfId="0" applyFont="1" applyFill="1" applyBorder="1" applyAlignment="1" applyProtection="1">
      <alignment vertical="center"/>
    </xf>
    <xf numFmtId="0" fontId="17" fillId="4" borderId="1" xfId="0" applyFont="1" applyFill="1" applyBorder="1" applyAlignment="1" applyProtection="1">
      <alignment vertical="center"/>
    </xf>
    <xf numFmtId="0" fontId="17" fillId="4" borderId="21" xfId="0" applyFont="1" applyFill="1" applyBorder="1" applyAlignment="1" applyProtection="1">
      <alignment vertical="center"/>
    </xf>
    <xf numFmtId="0" fontId="17" fillId="4" borderId="17" xfId="0" applyFont="1" applyFill="1" applyBorder="1" applyAlignment="1" applyProtection="1">
      <alignment vertical="center"/>
    </xf>
    <xf numFmtId="0" fontId="23" fillId="4" borderId="0"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xf>
    <xf numFmtId="0" fontId="17" fillId="4" borderId="22" xfId="0" applyFont="1" applyFill="1" applyBorder="1" applyAlignment="1" applyProtection="1">
      <alignment vertical="center" wrapText="1"/>
    </xf>
    <xf numFmtId="0" fontId="17" fillId="4" borderId="6" xfId="0" applyFont="1" applyFill="1" applyBorder="1" applyAlignment="1" applyProtection="1">
      <alignment vertical="center" wrapText="1"/>
    </xf>
    <xf numFmtId="0" fontId="17" fillId="0" borderId="0" xfId="0" applyFont="1" applyBorder="1" applyAlignment="1" applyProtection="1">
      <alignment vertical="center" wrapText="1"/>
    </xf>
    <xf numFmtId="5" fontId="23" fillId="0" borderId="12" xfId="0" applyNumberFormat="1" applyFont="1" applyBorder="1" applyAlignment="1" applyProtection="1">
      <alignment horizontal="center" vertical="center" wrapText="1"/>
    </xf>
    <xf numFmtId="5" fontId="23" fillId="0" borderId="18" xfId="0" applyNumberFormat="1" applyFont="1" applyBorder="1" applyAlignment="1" applyProtection="1">
      <alignment horizontal="center" vertical="center" wrapText="1"/>
    </xf>
    <xf numFmtId="5" fontId="23" fillId="0" borderId="15" xfId="0" applyNumberFormat="1" applyFont="1" applyBorder="1" applyAlignment="1" applyProtection="1">
      <alignment horizontal="center" vertical="center" wrapText="1"/>
    </xf>
    <xf numFmtId="5" fontId="23" fillId="4" borderId="0" xfId="0" applyNumberFormat="1" applyFont="1" applyFill="1" applyBorder="1" applyAlignment="1" applyProtection="1">
      <alignment horizontal="center" vertical="center" wrapText="1"/>
    </xf>
    <xf numFmtId="0" fontId="25" fillId="3" borderId="15" xfId="0" applyFont="1" applyFill="1" applyBorder="1" applyAlignment="1" applyProtection="1">
      <alignment vertical="center"/>
    </xf>
    <xf numFmtId="0" fontId="25" fillId="4" borderId="0" xfId="0" applyFont="1" applyFill="1" applyBorder="1" applyAlignment="1" applyProtection="1">
      <alignment vertical="center"/>
    </xf>
    <xf numFmtId="37" fontId="23" fillId="4" borderId="13" xfId="0" applyNumberFormat="1" applyFont="1" applyFill="1" applyBorder="1" applyAlignment="1" applyProtection="1">
      <alignment horizontal="center" vertical="center"/>
    </xf>
    <xf numFmtId="37" fontId="23" fillId="4" borderId="14" xfId="0" applyNumberFormat="1" applyFont="1" applyFill="1" applyBorder="1" applyAlignment="1" applyProtection="1">
      <alignment horizontal="center" vertical="center"/>
    </xf>
    <xf numFmtId="37" fontId="23" fillId="4" borderId="23" xfId="0" applyNumberFormat="1" applyFont="1" applyFill="1" applyBorder="1" applyAlignment="1" applyProtection="1">
      <alignment horizontal="center" vertical="center"/>
    </xf>
    <xf numFmtId="37" fontId="23" fillId="4" borderId="0" xfId="0" applyNumberFormat="1" applyFont="1" applyFill="1" applyBorder="1" applyAlignment="1" applyProtection="1">
      <alignment horizontal="center" vertical="center"/>
    </xf>
    <xf numFmtId="3" fontId="23" fillId="4" borderId="13" xfId="0" applyNumberFormat="1" applyFont="1" applyFill="1" applyBorder="1" applyAlignment="1" applyProtection="1">
      <alignment horizontal="center" vertical="center"/>
    </xf>
    <xf numFmtId="3" fontId="23" fillId="4" borderId="14" xfId="0" applyNumberFormat="1" applyFont="1" applyFill="1" applyBorder="1" applyAlignment="1" applyProtection="1">
      <alignment horizontal="center" vertical="center"/>
    </xf>
    <xf numFmtId="3" fontId="23" fillId="4" borderId="23" xfId="0" applyNumberFormat="1" applyFont="1" applyFill="1" applyBorder="1" applyAlignment="1" applyProtection="1">
      <alignment horizontal="center" vertical="center"/>
    </xf>
    <xf numFmtId="3" fontId="23" fillId="4" borderId="0" xfId="0" applyNumberFormat="1" applyFont="1" applyFill="1" applyBorder="1" applyAlignment="1" applyProtection="1">
      <alignment horizontal="center" vertical="center"/>
    </xf>
    <xf numFmtId="0" fontId="17" fillId="4" borderId="22" xfId="0" applyFont="1" applyFill="1" applyBorder="1" applyAlignment="1" applyProtection="1">
      <alignment vertical="center"/>
    </xf>
    <xf numFmtId="44" fontId="17" fillId="0" borderId="15" xfId="0" applyNumberFormat="1" applyFont="1" applyFill="1" applyBorder="1" applyAlignment="1" applyProtection="1">
      <alignment horizontal="center" vertical="center"/>
    </xf>
    <xf numFmtId="44" fontId="17" fillId="4" borderId="0" xfId="0" applyNumberFormat="1" applyFont="1" applyFill="1" applyBorder="1" applyAlignment="1" applyProtection="1">
      <alignment horizontal="center" vertical="center"/>
    </xf>
    <xf numFmtId="0" fontId="23" fillId="4" borderId="22" xfId="0" applyFont="1" applyFill="1" applyBorder="1" applyAlignment="1" applyProtection="1">
      <alignment vertical="center"/>
    </xf>
    <xf numFmtId="0" fontId="17" fillId="4" borderId="0" xfId="0" applyFont="1" applyFill="1" applyBorder="1" applyAlignment="1" applyProtection="1">
      <alignment horizontal="left" vertical="center"/>
    </xf>
    <xf numFmtId="0" fontId="23" fillId="2" borderId="15" xfId="0" applyFont="1" applyFill="1" applyBorder="1" applyAlignment="1" applyProtection="1">
      <alignment vertical="center"/>
    </xf>
    <xf numFmtId="166" fontId="23" fillId="0" borderId="15" xfId="0" applyNumberFormat="1" applyFont="1" applyFill="1" applyBorder="1" applyAlignment="1" applyProtection="1">
      <alignment horizontal="center" vertical="center"/>
    </xf>
    <xf numFmtId="44" fontId="23" fillId="0" borderId="24" xfId="0" applyNumberFormat="1" applyFont="1" applyFill="1" applyBorder="1" applyAlignment="1" applyProtection="1">
      <alignment horizontal="center" vertical="center"/>
    </xf>
    <xf numFmtId="44" fontId="23" fillId="0" borderId="15" xfId="0" applyNumberFormat="1" applyFont="1" applyFill="1" applyBorder="1" applyAlignment="1" applyProtection="1">
      <alignment horizontal="center" vertical="center"/>
    </xf>
    <xf numFmtId="44" fontId="23" fillId="4" borderId="0" xfId="0" applyNumberFormat="1" applyFont="1" applyFill="1" applyBorder="1" applyAlignment="1" applyProtection="1">
      <alignment horizontal="center" vertical="center"/>
    </xf>
    <xf numFmtId="0" fontId="23" fillId="2" borderId="24" xfId="0" applyFont="1" applyFill="1" applyBorder="1" applyAlignment="1" applyProtection="1">
      <alignment vertical="center"/>
    </xf>
    <xf numFmtId="0" fontId="23" fillId="2" borderId="17" xfId="0" applyFont="1" applyFill="1" applyBorder="1" applyAlignment="1" applyProtection="1">
      <alignment vertical="center"/>
    </xf>
    <xf numFmtId="0" fontId="23" fillId="2" borderId="0" xfId="0" applyFont="1" applyFill="1" applyBorder="1" applyAlignment="1" applyProtection="1">
      <alignment vertical="center"/>
    </xf>
    <xf numFmtId="0" fontId="23" fillId="2" borderId="22" xfId="0" applyFont="1" applyFill="1" applyBorder="1" applyAlignment="1" applyProtection="1">
      <alignment vertical="center"/>
    </xf>
    <xf numFmtId="0" fontId="23" fillId="4" borderId="18" xfId="0" applyFont="1" applyFill="1" applyBorder="1" applyAlignment="1" applyProtection="1">
      <alignment horizontal="center" vertical="center"/>
    </xf>
    <xf numFmtId="0" fontId="23" fillId="4" borderId="7" xfId="0" applyFont="1" applyFill="1" applyBorder="1" applyAlignment="1" applyProtection="1">
      <alignment horizontal="center" vertical="center"/>
    </xf>
    <xf numFmtId="0" fontId="23" fillId="4" borderId="19" xfId="0" applyFont="1" applyFill="1" applyBorder="1" applyAlignment="1" applyProtection="1">
      <alignment horizontal="center" vertical="center"/>
    </xf>
    <xf numFmtId="3" fontId="23" fillId="4" borderId="18" xfId="0" applyNumberFormat="1" applyFont="1" applyFill="1" applyBorder="1" applyAlignment="1" applyProtection="1">
      <alignment horizontal="center" vertical="center"/>
    </xf>
    <xf numFmtId="3" fontId="23" fillId="4" borderId="7" xfId="0" applyNumberFormat="1" applyFont="1" applyFill="1" applyBorder="1" applyAlignment="1" applyProtection="1">
      <alignment horizontal="center" vertical="center"/>
    </xf>
    <xf numFmtId="3" fontId="23" fillId="4" borderId="19" xfId="0" applyNumberFormat="1" applyFont="1" applyFill="1" applyBorder="1" applyAlignment="1" applyProtection="1">
      <alignment horizontal="center" vertical="center"/>
    </xf>
    <xf numFmtId="166" fontId="17" fillId="4" borderId="0" xfId="0" applyNumberFormat="1" applyFont="1" applyFill="1" applyBorder="1" applyAlignment="1" applyProtection="1">
      <alignment horizontal="center" vertical="center"/>
    </xf>
    <xf numFmtId="3" fontId="17" fillId="4" borderId="22" xfId="0" applyNumberFormat="1" applyFont="1" applyFill="1" applyBorder="1" applyAlignment="1" applyProtection="1">
      <alignment vertical="center"/>
    </xf>
    <xf numFmtId="0" fontId="17" fillId="4" borderId="0" xfId="0" applyFont="1" applyFill="1" applyBorder="1" applyAlignment="1" applyProtection="1">
      <alignment vertical="center" wrapText="1"/>
    </xf>
    <xf numFmtId="166" fontId="23" fillId="4" borderId="0" xfId="0" applyNumberFormat="1" applyFont="1" applyFill="1" applyBorder="1" applyAlignment="1" applyProtection="1">
      <alignment horizontal="center" vertical="center"/>
    </xf>
    <xf numFmtId="0" fontId="23" fillId="4" borderId="11" xfId="0" applyFont="1" applyFill="1" applyBorder="1" applyAlignment="1" applyProtection="1">
      <alignment vertical="center"/>
    </xf>
    <xf numFmtId="166" fontId="23" fillId="4" borderId="16" xfId="0" applyNumberFormat="1" applyFont="1" applyFill="1" applyBorder="1" applyAlignment="1" applyProtection="1">
      <alignment horizontal="center" vertical="center"/>
    </xf>
    <xf numFmtId="44" fontId="23" fillId="4" borderId="7" xfId="0" applyNumberFormat="1" applyFont="1" applyFill="1" applyBorder="1" applyAlignment="1" applyProtection="1">
      <alignment horizontal="center" vertical="center"/>
    </xf>
    <xf numFmtId="44" fontId="23" fillId="4" borderId="23" xfId="0" applyNumberFormat="1" applyFont="1" applyFill="1" applyBorder="1" applyAlignment="1" applyProtection="1">
      <alignment horizontal="center" vertical="center"/>
    </xf>
    <xf numFmtId="44" fontId="17" fillId="4" borderId="7" xfId="0" applyNumberFormat="1" applyFont="1" applyFill="1" applyBorder="1" applyAlignment="1" applyProtection="1">
      <alignment horizontal="center" vertical="center"/>
    </xf>
    <xf numFmtId="166" fontId="23" fillId="4" borderId="23" xfId="0" applyNumberFormat="1" applyFont="1" applyFill="1" applyBorder="1" applyAlignment="1" applyProtection="1">
      <alignment horizontal="center" vertical="center"/>
    </xf>
    <xf numFmtId="166" fontId="23" fillId="4" borderId="22" xfId="0" applyNumberFormat="1" applyFont="1" applyFill="1" applyBorder="1" applyAlignment="1" applyProtection="1">
      <alignment horizontal="center" vertical="center"/>
    </xf>
    <xf numFmtId="0" fontId="23" fillId="0" borderId="11" xfId="0" applyFont="1" applyBorder="1" applyAlignment="1" applyProtection="1">
      <alignment horizontal="center" vertical="center" wrapText="1"/>
    </xf>
    <xf numFmtId="5" fontId="23" fillId="4" borderId="11" xfId="0" applyNumberFormat="1" applyFont="1" applyFill="1" applyBorder="1" applyAlignment="1" applyProtection="1">
      <alignment horizontal="center" vertical="center" wrapText="1"/>
    </xf>
    <xf numFmtId="5" fontId="23" fillId="0" borderId="7" xfId="0" applyNumberFormat="1" applyFont="1" applyBorder="1" applyAlignment="1" applyProtection="1">
      <alignment horizontal="center" vertical="center" wrapText="1"/>
    </xf>
    <xf numFmtId="0" fontId="17" fillId="0" borderId="0" xfId="0" applyFont="1" applyFill="1" applyBorder="1" applyAlignment="1" applyProtection="1">
      <alignment vertical="center" wrapText="1"/>
    </xf>
    <xf numFmtId="1" fontId="17" fillId="4" borderId="17" xfId="0" applyNumberFormat="1" applyFont="1" applyFill="1" applyBorder="1" applyAlignment="1" applyProtection="1">
      <alignment horizontal="center" vertical="center"/>
    </xf>
    <xf numFmtId="1" fontId="17" fillId="4" borderId="14" xfId="0" applyNumberFormat="1" applyFont="1" applyFill="1" applyBorder="1" applyAlignment="1" applyProtection="1">
      <alignment horizontal="center" vertical="center"/>
    </xf>
    <xf numFmtId="1" fontId="17" fillId="4" borderId="23" xfId="0" applyNumberFormat="1" applyFont="1" applyFill="1" applyBorder="1" applyAlignment="1" applyProtection="1">
      <alignment horizontal="center" vertical="center"/>
    </xf>
    <xf numFmtId="1" fontId="17" fillId="4" borderId="0" xfId="0" applyNumberFormat="1" applyFont="1" applyFill="1" applyBorder="1" applyAlignment="1" applyProtection="1">
      <alignment horizontal="center" vertical="center"/>
    </xf>
    <xf numFmtId="0" fontId="17" fillId="4" borderId="17"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21"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0" borderId="12" xfId="0" applyFont="1" applyFill="1" applyBorder="1" applyAlignment="1" applyProtection="1">
      <alignment vertical="center"/>
    </xf>
    <xf numFmtId="1" fontId="17" fillId="4" borderId="11" xfId="0" applyNumberFormat="1" applyFont="1" applyFill="1" applyBorder="1" applyAlignment="1" applyProtection="1">
      <alignment horizontal="center" vertical="center"/>
    </xf>
    <xf numFmtId="0" fontId="17" fillId="4" borderId="11" xfId="0" applyFont="1" applyFill="1" applyBorder="1" applyAlignment="1" applyProtection="1">
      <alignment horizontal="center" vertical="center"/>
    </xf>
    <xf numFmtId="0" fontId="17" fillId="0" borderId="15" xfId="0" applyFont="1" applyFill="1" applyBorder="1" applyAlignment="1" applyProtection="1">
      <alignment vertical="center"/>
    </xf>
    <xf numFmtId="167" fontId="17" fillId="0" borderId="15" xfId="0" applyNumberFormat="1" applyFont="1" applyFill="1" applyBorder="1" applyAlignment="1" applyProtection="1">
      <alignment horizontal="center" vertical="center"/>
    </xf>
    <xf numFmtId="167" fontId="17" fillId="0" borderId="23" xfId="0" applyNumberFormat="1" applyFont="1" applyFill="1" applyBorder="1" applyAlignment="1" applyProtection="1">
      <alignment horizontal="center" vertical="center"/>
    </xf>
    <xf numFmtId="10" fontId="17" fillId="0" borderId="15" xfId="0" applyNumberFormat="1" applyFont="1" applyFill="1" applyBorder="1" applyAlignment="1" applyProtection="1">
      <alignment horizontal="center" vertical="center"/>
    </xf>
    <xf numFmtId="10" fontId="17" fillId="0" borderId="23" xfId="0" applyNumberFormat="1" applyFont="1" applyFill="1" applyBorder="1" applyAlignment="1" applyProtection="1">
      <alignment horizontal="center" vertical="center"/>
    </xf>
    <xf numFmtId="0" fontId="17" fillId="4" borderId="18" xfId="0" applyFont="1" applyFill="1" applyBorder="1" applyAlignment="1" applyProtection="1">
      <alignment vertical="center"/>
    </xf>
    <xf numFmtId="0" fontId="23" fillId="2" borderId="7" xfId="0" applyFont="1" applyFill="1" applyBorder="1" applyAlignment="1" applyProtection="1">
      <alignment vertical="center"/>
    </xf>
    <xf numFmtId="0" fontId="23" fillId="4" borderId="7" xfId="0" applyFont="1" applyFill="1" applyBorder="1" applyAlignment="1" applyProtection="1">
      <alignment vertical="center"/>
    </xf>
    <xf numFmtId="0" fontId="17" fillId="4" borderId="7" xfId="0" applyFont="1" applyFill="1" applyBorder="1" applyAlignment="1" applyProtection="1">
      <alignment vertical="center"/>
    </xf>
    <xf numFmtId="166" fontId="23" fillId="2" borderId="7" xfId="0" applyNumberFormat="1" applyFont="1" applyFill="1" applyBorder="1" applyAlignment="1" applyProtection="1">
      <alignment horizontal="center" vertical="center"/>
    </xf>
    <xf numFmtId="44" fontId="23" fillId="2" borderId="7" xfId="0" applyNumberFormat="1" applyFont="1" applyFill="1" applyBorder="1" applyAlignment="1" applyProtection="1">
      <alignment horizontal="center" vertical="center"/>
    </xf>
    <xf numFmtId="166" fontId="23" fillId="4" borderId="7" xfId="0" applyNumberFormat="1" applyFont="1" applyFill="1" applyBorder="1" applyAlignment="1" applyProtection="1">
      <alignment horizontal="center" vertical="center"/>
    </xf>
    <xf numFmtId="0" fontId="17" fillId="4" borderId="19" xfId="0" applyFont="1" applyFill="1" applyBorder="1" applyAlignment="1" applyProtection="1">
      <alignment vertical="center"/>
    </xf>
    <xf numFmtId="5" fontId="17" fillId="0" borderId="0" xfId="0" applyNumberFormat="1" applyFont="1" applyFill="1" applyBorder="1" applyProtection="1"/>
    <xf numFmtId="166" fontId="23" fillId="2" borderId="0" xfId="0" applyNumberFormat="1" applyFont="1" applyFill="1" applyBorder="1" applyAlignment="1" applyProtection="1">
      <alignment horizontal="center" vertical="center"/>
    </xf>
    <xf numFmtId="44" fontId="23" fillId="2" borderId="0" xfId="0" applyNumberFormat="1" applyFont="1" applyFill="1" applyBorder="1" applyAlignment="1" applyProtection="1">
      <alignment horizontal="center" vertical="center"/>
    </xf>
    <xf numFmtId="0" fontId="23" fillId="2" borderId="1" xfId="0" applyFont="1" applyFill="1" applyBorder="1" applyAlignment="1" applyProtection="1">
      <alignment vertical="center"/>
    </xf>
    <xf numFmtId="0" fontId="23" fillId="4" borderId="1" xfId="0" applyFont="1" applyFill="1" applyBorder="1" applyAlignment="1" applyProtection="1">
      <alignment vertical="center"/>
    </xf>
    <xf numFmtId="166" fontId="23" fillId="2" borderId="1" xfId="0" applyNumberFormat="1" applyFont="1" applyFill="1" applyBorder="1" applyAlignment="1" applyProtection="1">
      <alignment horizontal="center" vertical="center"/>
    </xf>
    <xf numFmtId="44" fontId="23" fillId="2" borderId="1" xfId="0" applyNumberFormat="1" applyFont="1" applyFill="1" applyBorder="1" applyAlignment="1" applyProtection="1">
      <alignment horizontal="center" vertical="center"/>
    </xf>
    <xf numFmtId="44" fontId="23" fillId="4" borderId="1" xfId="0" applyNumberFormat="1" applyFont="1" applyFill="1" applyBorder="1" applyAlignment="1" applyProtection="1">
      <alignment horizontal="center" vertical="center"/>
    </xf>
    <xf numFmtId="166" fontId="23" fillId="4" borderId="1" xfId="0" applyNumberFormat="1" applyFont="1" applyFill="1" applyBorder="1" applyAlignment="1" applyProtection="1">
      <alignment horizontal="center" vertical="center"/>
    </xf>
    <xf numFmtId="0" fontId="25" fillId="7" borderId="15" xfId="0" applyFont="1" applyFill="1" applyBorder="1" applyAlignment="1" applyProtection="1">
      <alignment vertical="center"/>
    </xf>
    <xf numFmtId="42" fontId="23" fillId="4" borderId="0" xfId="0" applyNumberFormat="1" applyFont="1" applyFill="1" applyBorder="1" applyAlignment="1" applyProtection="1">
      <alignment vertical="center"/>
    </xf>
    <xf numFmtId="0" fontId="23" fillId="4" borderId="17" xfId="0" applyFont="1" applyFill="1" applyBorder="1" applyAlignment="1" applyProtection="1">
      <alignment vertical="center"/>
    </xf>
    <xf numFmtId="42" fontId="23" fillId="4" borderId="0" xfId="2" applyNumberFormat="1" applyFont="1" applyFill="1" applyBorder="1" applyAlignment="1" applyProtection="1">
      <alignment vertical="center"/>
    </xf>
    <xf numFmtId="0" fontId="26" fillId="4" borderId="6" xfId="0" applyFont="1" applyFill="1" applyBorder="1" applyAlignment="1" applyProtection="1">
      <alignment vertical="center"/>
    </xf>
    <xf numFmtId="0" fontId="23" fillId="0" borderId="0" xfId="0" applyFont="1" applyFill="1" applyBorder="1" applyProtection="1"/>
    <xf numFmtId="9" fontId="17" fillId="0" borderId="0" xfId="0" applyNumberFormat="1" applyFont="1" applyFill="1" applyBorder="1" applyAlignment="1" applyProtection="1">
      <alignment horizontal="center"/>
    </xf>
    <xf numFmtId="1" fontId="17" fillId="4" borderId="0" xfId="0" applyNumberFormat="1" applyFont="1" applyFill="1" applyBorder="1" applyAlignment="1" applyProtection="1">
      <alignment vertical="center"/>
    </xf>
    <xf numFmtId="44" fontId="23" fillId="4" borderId="22" xfId="0" applyNumberFormat="1" applyFont="1" applyFill="1" applyBorder="1" applyAlignment="1" applyProtection="1">
      <alignment horizontal="center" vertical="center"/>
    </xf>
    <xf numFmtId="44" fontId="23" fillId="4" borderId="22" xfId="0" applyNumberFormat="1" applyFont="1" applyFill="1" applyBorder="1" applyAlignment="1" applyProtection="1">
      <alignment vertical="center"/>
    </xf>
    <xf numFmtId="0" fontId="23" fillId="4" borderId="18" xfId="0" applyFont="1" applyFill="1" applyBorder="1" applyAlignment="1" applyProtection="1">
      <alignment vertical="center"/>
    </xf>
    <xf numFmtId="166" fontId="17" fillId="4" borderId="7" xfId="0" applyNumberFormat="1" applyFont="1" applyFill="1" applyBorder="1" applyAlignment="1" applyProtection="1">
      <alignment horizontal="center" vertical="center"/>
    </xf>
    <xf numFmtId="166" fontId="23" fillId="4" borderId="19" xfId="0" applyNumberFormat="1" applyFont="1" applyFill="1" applyBorder="1" applyAlignment="1" applyProtection="1">
      <alignment horizontal="center" vertical="center"/>
    </xf>
    <xf numFmtId="0" fontId="27" fillId="4" borderId="7" xfId="0" applyFont="1" applyFill="1" applyBorder="1" applyAlignment="1" applyProtection="1">
      <alignment vertical="center"/>
    </xf>
    <xf numFmtId="0" fontId="17" fillId="4" borderId="8" xfId="0" applyFont="1" applyFill="1" applyBorder="1" applyAlignment="1" applyProtection="1">
      <alignment vertical="center"/>
    </xf>
    <xf numFmtId="0" fontId="17" fillId="4" borderId="9" xfId="0" applyFont="1" applyFill="1" applyBorder="1" applyAlignment="1" applyProtection="1">
      <alignment vertical="center"/>
    </xf>
    <xf numFmtId="0" fontId="17" fillId="4" borderId="10" xfId="0" applyFont="1" applyFill="1" applyBorder="1" applyAlignment="1" applyProtection="1">
      <alignment vertical="center"/>
    </xf>
    <xf numFmtId="1" fontId="17" fillId="0" borderId="0" xfId="0" applyNumberFormat="1" applyFont="1" applyFill="1" applyProtection="1"/>
    <xf numFmtId="165" fontId="14" fillId="0" borderId="0" xfId="1" applyNumberFormat="1" applyFont="1" applyFill="1" applyAlignment="1" applyProtection="1">
      <alignment vertical="center"/>
    </xf>
    <xf numFmtId="0" fontId="28" fillId="0" borderId="0" xfId="0" applyFont="1" applyFill="1" applyAlignment="1" applyProtection="1">
      <alignment vertical="center"/>
    </xf>
    <xf numFmtId="0" fontId="14" fillId="0" borderId="0" xfId="0" applyFont="1" applyFill="1" applyAlignment="1" applyProtection="1">
      <alignment vertical="center" wrapText="1"/>
    </xf>
    <xf numFmtId="0" fontId="14" fillId="4" borderId="2" xfId="0" applyFont="1" applyFill="1" applyBorder="1" applyAlignment="1" applyProtection="1">
      <alignment vertical="center"/>
    </xf>
    <xf numFmtId="0" fontId="28" fillId="4" borderId="3" xfId="0" applyFont="1" applyFill="1" applyBorder="1" applyAlignment="1" applyProtection="1">
      <alignment vertical="center"/>
    </xf>
    <xf numFmtId="0" fontId="14" fillId="4" borderId="4" xfId="0" applyFont="1" applyFill="1" applyBorder="1" applyAlignment="1" applyProtection="1">
      <alignment vertical="center"/>
    </xf>
    <xf numFmtId="0" fontId="14" fillId="4" borderId="5" xfId="0" applyFont="1" applyFill="1" applyBorder="1" applyAlignment="1" applyProtection="1">
      <alignment vertical="center"/>
    </xf>
    <xf numFmtId="165" fontId="14" fillId="4" borderId="0" xfId="1" applyNumberFormat="1" applyFont="1" applyFill="1" applyBorder="1" applyAlignment="1" applyProtection="1">
      <alignment vertical="center"/>
    </xf>
    <xf numFmtId="0" fontId="28" fillId="4" borderId="0" xfId="0" applyFont="1" applyFill="1" applyBorder="1" applyAlignment="1" applyProtection="1">
      <alignment vertical="center"/>
    </xf>
    <xf numFmtId="0" fontId="14" fillId="4" borderId="6" xfId="0" applyFont="1" applyFill="1" applyBorder="1" applyAlignment="1" applyProtection="1">
      <alignment vertical="center"/>
    </xf>
    <xf numFmtId="0" fontId="14" fillId="0" borderId="0" xfId="0" applyFont="1" applyAlignment="1" applyProtection="1">
      <alignment vertical="center"/>
    </xf>
    <xf numFmtId="0" fontId="23" fillId="4" borderId="1" xfId="0" applyFont="1" applyFill="1" applyBorder="1" applyAlignment="1" applyProtection="1">
      <alignment horizontal="center" vertical="center"/>
    </xf>
    <xf numFmtId="0" fontId="23" fillId="4" borderId="21" xfId="0" applyFont="1" applyFill="1" applyBorder="1" applyAlignment="1" applyProtection="1">
      <alignment horizontal="center" vertical="center"/>
    </xf>
    <xf numFmtId="0" fontId="23" fillId="4" borderId="1" xfId="0" applyFont="1" applyFill="1" applyBorder="1" applyAlignment="1" applyProtection="1">
      <alignment horizontal="center" vertical="center" wrapText="1"/>
    </xf>
    <xf numFmtId="0" fontId="23" fillId="4" borderId="22" xfId="0" applyFont="1" applyFill="1" applyBorder="1" applyAlignment="1" applyProtection="1">
      <alignment horizontal="center" vertical="center"/>
    </xf>
    <xf numFmtId="0" fontId="0" fillId="0" borderId="22" xfId="0" applyBorder="1" applyAlignment="1" applyProtection="1">
      <alignment horizontal="center" vertical="center"/>
    </xf>
    <xf numFmtId="0" fontId="15" fillId="4" borderId="14" xfId="0" applyFont="1" applyFill="1" applyBorder="1" applyAlignment="1" applyProtection="1">
      <alignment vertical="center"/>
    </xf>
    <xf numFmtId="165" fontId="14" fillId="4" borderId="14" xfId="1" applyNumberFormat="1" applyFont="1" applyFill="1" applyBorder="1" applyAlignment="1" applyProtection="1">
      <alignment vertical="center"/>
    </xf>
    <xf numFmtId="0" fontId="19" fillId="4" borderId="22"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44" fontId="14" fillId="4" borderId="15" xfId="1" applyNumberFormat="1" applyFont="1" applyFill="1" applyBorder="1" applyAlignment="1" applyProtection="1">
      <alignment vertical="center"/>
    </xf>
    <xf numFmtId="49" fontId="17" fillId="4" borderId="6" xfId="0" applyNumberFormat="1" applyFont="1" applyFill="1" applyBorder="1" applyAlignment="1" applyProtection="1">
      <alignment horizontal="left" vertical="center"/>
    </xf>
    <xf numFmtId="0" fontId="19" fillId="4" borderId="22" xfId="0" applyFont="1" applyFill="1" applyBorder="1" applyAlignment="1" applyProtection="1">
      <alignment vertical="center"/>
    </xf>
    <xf numFmtId="0" fontId="28" fillId="4" borderId="22" xfId="0" applyFont="1" applyFill="1" applyBorder="1" applyAlignment="1" applyProtection="1">
      <alignment vertical="center"/>
    </xf>
    <xf numFmtId="4" fontId="19" fillId="4" borderId="22" xfId="0" applyNumberFormat="1" applyFont="1" applyFill="1" applyBorder="1" applyAlignment="1" applyProtection="1">
      <alignment vertical="center" wrapText="1"/>
    </xf>
    <xf numFmtId="0" fontId="14" fillId="4" borderId="6" xfId="0" applyFont="1" applyFill="1" applyBorder="1" applyAlignment="1" applyProtection="1">
      <alignment horizontal="left" vertical="center"/>
    </xf>
    <xf numFmtId="49" fontId="27" fillId="0" borderId="0" xfId="0" applyNumberFormat="1" applyFont="1" applyFill="1" applyAlignment="1" applyProtection="1">
      <alignment horizontal="left" vertical="center"/>
    </xf>
    <xf numFmtId="0" fontId="14" fillId="4" borderId="14" xfId="0" applyFont="1" applyFill="1" applyBorder="1" applyAlignment="1" applyProtection="1">
      <alignment vertical="center"/>
    </xf>
    <xf numFmtId="44" fontId="15" fillId="4" borderId="15" xfId="0" applyNumberFormat="1" applyFont="1" applyFill="1" applyBorder="1" applyAlignment="1" applyProtection="1">
      <alignment horizontal="right" vertical="center"/>
    </xf>
    <xf numFmtId="165" fontId="14" fillId="4" borderId="1" xfId="1" applyNumberFormat="1" applyFont="1" applyFill="1" applyBorder="1" applyAlignment="1" applyProtection="1">
      <alignment vertical="center"/>
    </xf>
    <xf numFmtId="0" fontId="19" fillId="4" borderId="21" xfId="0" applyFont="1" applyFill="1" applyBorder="1" applyAlignment="1" applyProtection="1">
      <alignment vertical="center" wrapText="1"/>
    </xf>
    <xf numFmtId="0" fontId="19" fillId="4" borderId="19" xfId="0" applyFont="1" applyFill="1" applyBorder="1" applyAlignment="1" applyProtection="1">
      <alignment vertical="center" wrapText="1"/>
    </xf>
    <xf numFmtId="0" fontId="15" fillId="4" borderId="7" xfId="0" applyFont="1" applyFill="1" applyBorder="1" applyAlignment="1" applyProtection="1">
      <alignment vertical="center"/>
    </xf>
    <xf numFmtId="165" fontId="14" fillId="4" borderId="7" xfId="1" applyNumberFormat="1" applyFont="1" applyFill="1" applyBorder="1" applyAlignment="1" applyProtection="1">
      <alignment vertical="center"/>
    </xf>
    <xf numFmtId="43" fontId="17" fillId="4" borderId="6" xfId="0" applyNumberFormat="1" applyFont="1" applyFill="1" applyBorder="1" applyAlignment="1" applyProtection="1">
      <alignment horizontal="left" vertical="center"/>
    </xf>
    <xf numFmtId="0" fontId="14" fillId="4" borderId="7" xfId="0" applyFont="1" applyFill="1" applyBorder="1" applyAlignment="1" applyProtection="1">
      <alignment vertical="center"/>
    </xf>
    <xf numFmtId="0" fontId="19" fillId="4" borderId="21" xfId="0" applyFont="1" applyFill="1" applyBorder="1" applyAlignment="1" applyProtection="1">
      <alignment vertical="center"/>
    </xf>
    <xf numFmtId="0" fontId="14" fillId="0" borderId="0" xfId="0" applyFont="1" applyFill="1" applyBorder="1" applyAlignment="1" applyProtection="1">
      <alignment vertical="center" wrapText="1"/>
    </xf>
    <xf numFmtId="0" fontId="19" fillId="4" borderId="19" xfId="0" applyFont="1" applyFill="1" applyBorder="1" applyAlignment="1" applyProtection="1">
      <alignment vertical="center"/>
    </xf>
    <xf numFmtId="0" fontId="15" fillId="4" borderId="22" xfId="0" applyFont="1" applyFill="1" applyBorder="1" applyAlignment="1" applyProtection="1">
      <alignment vertical="center"/>
    </xf>
    <xf numFmtId="0" fontId="14" fillId="0" borderId="0" xfId="0" applyFont="1" applyFill="1" applyAlignment="1" applyProtection="1">
      <alignment horizontal="center" vertical="center" wrapText="1"/>
    </xf>
    <xf numFmtId="49" fontId="19" fillId="4" borderId="22" xfId="0" applyNumberFormat="1" applyFont="1" applyFill="1" applyBorder="1" applyAlignment="1" applyProtection="1">
      <alignment horizontal="center" vertical="center" wrapText="1"/>
    </xf>
    <xf numFmtId="43" fontId="17" fillId="4" borderId="6" xfId="0" applyNumberFormat="1" applyFont="1" applyFill="1" applyBorder="1" applyAlignment="1" applyProtection="1">
      <alignment horizontal="left" vertical="center" wrapText="1"/>
    </xf>
    <xf numFmtId="0" fontId="28" fillId="4" borderId="19" xfId="0" applyFont="1" applyFill="1" applyBorder="1" applyAlignment="1" applyProtection="1">
      <alignment vertical="center"/>
    </xf>
    <xf numFmtId="0" fontId="29" fillId="0" borderId="0" xfId="0" applyFont="1" applyFill="1" applyAlignment="1" applyProtection="1">
      <alignment vertical="center" wrapText="1"/>
    </xf>
    <xf numFmtId="0" fontId="30" fillId="4" borderId="22" xfId="0" applyFont="1" applyFill="1" applyBorder="1" applyAlignment="1" applyProtection="1">
      <alignment vertical="center" wrapText="1"/>
    </xf>
    <xf numFmtId="0" fontId="14" fillId="4" borderId="22" xfId="0" applyFont="1" applyFill="1" applyBorder="1" applyAlignment="1" applyProtection="1">
      <alignment vertical="center" wrapText="1"/>
    </xf>
    <xf numFmtId="165" fontId="15" fillId="4" borderId="1" xfId="1" applyNumberFormat="1" applyFont="1" applyFill="1" applyBorder="1" applyAlignment="1" applyProtection="1">
      <alignment vertical="center"/>
    </xf>
    <xf numFmtId="0" fontId="15" fillId="4" borderId="7"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5" fillId="4" borderId="7" xfId="0" applyFont="1" applyFill="1" applyBorder="1" applyAlignment="1" applyProtection="1">
      <alignment horizontal="right" vertical="center"/>
    </xf>
    <xf numFmtId="165" fontId="15" fillId="4" borderId="7" xfId="1" applyNumberFormat="1" applyFont="1" applyFill="1" applyBorder="1" applyAlignment="1" applyProtection="1">
      <alignment vertical="center"/>
    </xf>
    <xf numFmtId="0" fontId="19" fillId="4" borderId="7" xfId="0" applyFont="1" applyFill="1" applyBorder="1" applyAlignment="1" applyProtection="1">
      <alignment vertical="center"/>
    </xf>
    <xf numFmtId="165" fontId="14" fillId="4" borderId="9" xfId="1" applyNumberFormat="1" applyFont="1" applyFill="1" applyBorder="1" applyAlignment="1" applyProtection="1">
      <alignment vertical="center"/>
    </xf>
    <xf numFmtId="0" fontId="19" fillId="6" borderId="12" xfId="0" applyFont="1" applyFill="1" applyBorder="1" applyAlignment="1" applyProtection="1">
      <alignment vertical="center" wrapText="1"/>
      <protection locked="0"/>
    </xf>
    <xf numFmtId="49" fontId="19" fillId="6" borderId="15" xfId="0" applyNumberFormat="1" applyFont="1" applyFill="1" applyBorder="1" applyAlignment="1" applyProtection="1">
      <alignment horizontal="center" vertical="center" wrapText="1"/>
      <protection locked="0"/>
    </xf>
    <xf numFmtId="0" fontId="30" fillId="6" borderId="15" xfId="0" applyFont="1" applyFill="1" applyBorder="1" applyAlignment="1" applyProtection="1">
      <alignment vertical="center" wrapText="1"/>
      <protection locked="0"/>
    </xf>
    <xf numFmtId="0" fontId="31" fillId="4" borderId="15" xfId="3" applyFont="1" applyFill="1" applyBorder="1" applyAlignment="1" applyProtection="1">
      <alignment vertical="center"/>
      <protection locked="0"/>
    </xf>
    <xf numFmtId="0" fontId="14" fillId="0" borderId="0" xfId="0" applyFont="1" applyAlignment="1">
      <alignment horizontal="center" vertical="center"/>
    </xf>
    <xf numFmtId="0" fontId="14" fillId="8" borderId="26" xfId="0" applyFont="1" applyFill="1" applyBorder="1" applyAlignment="1">
      <alignment horizontal="center" vertical="center"/>
    </xf>
    <xf numFmtId="0" fontId="14" fillId="0" borderId="0" xfId="0" applyFont="1" applyAlignment="1">
      <alignment vertical="center"/>
    </xf>
    <xf numFmtId="0" fontId="17" fillId="0" borderId="0" xfId="0" applyNumberFormat="1" applyFont="1" applyAlignment="1">
      <alignment vertical="center"/>
    </xf>
    <xf numFmtId="0" fontId="14" fillId="8" borderId="26" xfId="0" applyFont="1" applyFill="1" applyBorder="1" applyAlignment="1">
      <alignment vertical="center"/>
    </xf>
    <xf numFmtId="0" fontId="23" fillId="4" borderId="16" xfId="0" applyNumberFormat="1" applyFont="1" applyFill="1" applyBorder="1"/>
    <xf numFmtId="49" fontId="14" fillId="4" borderId="1" xfId="0" applyNumberFormat="1" applyFont="1" applyFill="1" applyBorder="1" applyAlignment="1"/>
    <xf numFmtId="0" fontId="14" fillId="4" borderId="1" xfId="0" applyFont="1" applyFill="1" applyBorder="1" applyAlignment="1">
      <alignment horizontal="center" vertical="center"/>
    </xf>
    <xf numFmtId="0" fontId="14" fillId="4" borderId="1" xfId="0" applyFont="1" applyFill="1" applyBorder="1"/>
    <xf numFmtId="0" fontId="14" fillId="4" borderId="21" xfId="0" applyFont="1" applyFill="1" applyBorder="1"/>
    <xf numFmtId="0" fontId="23" fillId="4" borderId="17" xfId="0" applyNumberFormat="1" applyFont="1" applyFill="1" applyBorder="1"/>
    <xf numFmtId="49" fontId="14" fillId="4" borderId="0" xfId="0" applyNumberFormat="1" applyFont="1" applyFill="1" applyBorder="1" applyAlignment="1"/>
    <xf numFmtId="0" fontId="14" fillId="4" borderId="0" xfId="0" applyFont="1" applyFill="1" applyBorder="1" applyAlignment="1">
      <alignment horizontal="center" vertical="center"/>
    </xf>
    <xf numFmtId="0" fontId="14" fillId="4" borderId="0" xfId="0" applyFont="1" applyFill="1" applyBorder="1"/>
    <xf numFmtId="0" fontId="14" fillId="4" borderId="22" xfId="0" applyFont="1" applyFill="1" applyBorder="1"/>
    <xf numFmtId="0" fontId="23" fillId="4" borderId="18" xfId="0" applyNumberFormat="1" applyFont="1" applyFill="1" applyBorder="1"/>
    <xf numFmtId="49" fontId="14" fillId="4" borderId="7" xfId="0" applyNumberFormat="1" applyFont="1" applyFill="1" applyBorder="1" applyAlignment="1"/>
    <xf numFmtId="0" fontId="14" fillId="4" borderId="7" xfId="0" applyFont="1" applyFill="1" applyBorder="1" applyAlignment="1">
      <alignment horizontal="center" vertical="center"/>
    </xf>
    <xf numFmtId="0" fontId="14" fillId="4" borderId="7" xfId="0" applyFont="1" applyFill="1" applyBorder="1"/>
    <xf numFmtId="0" fontId="14" fillId="4" borderId="19" xfId="0" applyFont="1" applyFill="1" applyBorder="1"/>
    <xf numFmtId="0" fontId="25" fillId="9" borderId="27" xfId="0" applyFont="1" applyFill="1" applyBorder="1" applyAlignment="1">
      <alignment horizontal="center" vertical="center" wrapText="1"/>
    </xf>
    <xf numFmtId="1" fontId="23" fillId="4" borderId="14" xfId="5" applyNumberFormat="1" applyFont="1" applyFill="1" applyBorder="1" applyAlignment="1" applyProtection="1">
      <alignment horizontal="center" vertical="center"/>
    </xf>
    <xf numFmtId="1" fontId="23" fillId="4" borderId="23" xfId="5" applyNumberFormat="1" applyFont="1" applyFill="1" applyBorder="1" applyAlignment="1" applyProtection="1">
      <alignment horizontal="center" vertical="center"/>
    </xf>
    <xf numFmtId="0" fontId="15" fillId="0" borderId="0" xfId="0" applyFont="1" applyAlignment="1">
      <alignment vertical="center"/>
    </xf>
    <xf numFmtId="0" fontId="21" fillId="4" borderId="0" xfId="1" quotePrefix="1" applyNumberFormat="1"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44" fontId="15" fillId="4" borderId="13" xfId="0" applyNumberFormat="1" applyFont="1" applyFill="1" applyBorder="1" applyAlignment="1" applyProtection="1">
      <alignment horizontal="right" vertical="center"/>
    </xf>
    <xf numFmtId="0" fontId="19" fillId="4" borderId="11" xfId="0" applyFont="1" applyFill="1" applyBorder="1" applyAlignment="1" applyProtection="1">
      <alignment vertical="center" wrapText="1"/>
    </xf>
    <xf numFmtId="0" fontId="17" fillId="4" borderId="11" xfId="0" applyFont="1" applyFill="1" applyBorder="1" applyAlignment="1" applyProtection="1">
      <alignment horizontal="center" vertical="center" wrapText="1"/>
    </xf>
    <xf numFmtId="0" fontId="17" fillId="4" borderId="12" xfId="0" applyFont="1" applyFill="1" applyBorder="1" applyAlignment="1" applyProtection="1">
      <alignment horizontal="center" vertical="center" wrapText="1"/>
    </xf>
    <xf numFmtId="0" fontId="28" fillId="6" borderId="22"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xf>
    <xf numFmtId="44" fontId="15" fillId="4" borderId="15" xfId="1" applyNumberFormat="1" applyFont="1" applyFill="1" applyBorder="1" applyAlignment="1" applyProtection="1">
      <alignment vertical="center"/>
    </xf>
    <xf numFmtId="0" fontId="32" fillId="0" borderId="0" xfId="0" applyFont="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44" fontId="14" fillId="0" borderId="0" xfId="0" applyNumberFormat="1" applyFont="1" applyAlignment="1">
      <alignment vertical="center"/>
    </xf>
    <xf numFmtId="0" fontId="25" fillId="9" borderId="0" xfId="0" applyFont="1" applyFill="1" applyBorder="1" applyAlignment="1">
      <alignment horizontal="center" vertical="center" wrapText="1"/>
    </xf>
    <xf numFmtId="2" fontId="17" fillId="0" borderId="0" xfId="0" applyNumberFormat="1" applyFont="1" applyFill="1" applyBorder="1" applyAlignment="1">
      <alignment horizontal="center" vertical="center"/>
    </xf>
    <xf numFmtId="168" fontId="14" fillId="8" borderId="0" xfId="0" applyNumberFormat="1" applyFont="1" applyFill="1" applyBorder="1" applyAlignment="1">
      <alignment horizontal="center" vertical="center"/>
    </xf>
    <xf numFmtId="168" fontId="14" fillId="0" borderId="0" xfId="0" applyNumberFormat="1" applyFont="1" applyAlignment="1">
      <alignment vertical="center"/>
    </xf>
    <xf numFmtId="2" fontId="14" fillId="8" borderId="0" xfId="0" applyNumberFormat="1" applyFont="1" applyFill="1" applyBorder="1" applyAlignment="1">
      <alignment horizontal="center" vertical="center"/>
    </xf>
    <xf numFmtId="0" fontId="14" fillId="0" borderId="0" xfId="0" applyFont="1" applyAlignment="1">
      <alignment horizontal="center" vertical="center"/>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28" xfId="0" applyFont="1" applyFill="1" applyBorder="1" applyAlignment="1">
      <alignment horizontal="left" vertical="center"/>
    </xf>
    <xf numFmtId="169" fontId="33" fillId="0" borderId="0" xfId="0" applyNumberFormat="1" applyFont="1" applyFill="1" applyBorder="1" applyAlignment="1">
      <alignment horizontal="center" vertical="center" wrapText="1"/>
    </xf>
    <xf numFmtId="0" fontId="33" fillId="0" borderId="0" xfId="0" applyFont="1" applyFill="1" applyBorder="1" applyAlignment="1">
      <alignment horizontal="left" vertical="top"/>
    </xf>
    <xf numFmtId="44" fontId="17" fillId="0" borderId="0" xfId="5" applyNumberFormat="1" applyFont="1" applyFill="1" applyBorder="1" applyAlignment="1" applyProtection="1">
      <alignment horizontal="center" vertical="center"/>
    </xf>
    <xf numFmtId="44" fontId="14" fillId="4" borderId="0" xfId="0" applyNumberFormat="1" applyFont="1" applyFill="1" applyBorder="1" applyAlignment="1">
      <alignment vertical="center"/>
    </xf>
    <xf numFmtId="44" fontId="14" fillId="4" borderId="11" xfId="0" applyNumberFormat="1" applyFont="1" applyFill="1" applyBorder="1" applyAlignment="1">
      <alignment vertical="center"/>
    </xf>
    <xf numFmtId="0" fontId="17" fillId="0" borderId="0" xfId="0" applyNumberFormat="1" applyFont="1" applyAlignment="1">
      <alignment horizontal="center" vertical="center"/>
    </xf>
    <xf numFmtId="0" fontId="25" fillId="9" borderId="0" xfId="0" applyFont="1" applyFill="1" applyBorder="1" applyAlignment="1">
      <alignment horizontal="center" vertical="center"/>
    </xf>
    <xf numFmtId="0" fontId="33" fillId="0" borderId="0" xfId="0" applyFont="1" applyFill="1" applyBorder="1" applyAlignment="1">
      <alignment horizontal="center" vertical="top"/>
    </xf>
    <xf numFmtId="170" fontId="33" fillId="0" borderId="0" xfId="0" applyNumberFormat="1" applyFont="1" applyFill="1" applyBorder="1" applyAlignment="1">
      <alignment horizontal="center" vertical="top"/>
    </xf>
    <xf numFmtId="0" fontId="27" fillId="4" borderId="0" xfId="0" applyFont="1" applyFill="1" applyBorder="1" applyAlignment="1" applyProtection="1">
      <alignment vertical="center"/>
    </xf>
    <xf numFmtId="0" fontId="17" fillId="0" borderId="0" xfId="0" applyFont="1" applyFill="1" applyAlignment="1" applyProtection="1">
      <alignment vertical="center"/>
    </xf>
    <xf numFmtId="0" fontId="17" fillId="0" borderId="17" xfId="0" applyFont="1" applyBorder="1" applyAlignment="1" applyProtection="1">
      <alignment vertical="center"/>
    </xf>
    <xf numFmtId="0" fontId="14" fillId="4" borderId="0" xfId="0" applyFont="1" applyFill="1" applyBorder="1" applyAlignment="1" applyProtection="1">
      <alignment vertical="center"/>
    </xf>
    <xf numFmtId="44" fontId="20" fillId="0" borderId="0" xfId="0" applyNumberFormat="1" applyFont="1" applyFill="1" applyProtection="1"/>
    <xf numFmtId="0" fontId="4" fillId="4" borderId="25" xfId="5" applyFont="1" applyFill="1" applyBorder="1" applyAlignment="1" applyProtection="1">
      <alignment horizontal="center" vertical="center"/>
    </xf>
    <xf numFmtId="44" fontId="14" fillId="0" borderId="0" xfId="0" applyNumberFormat="1" applyFont="1" applyFill="1" applyAlignment="1" applyProtection="1">
      <alignment vertical="center" wrapText="1"/>
    </xf>
    <xf numFmtId="1" fontId="23" fillId="4" borderId="15" xfId="5" applyNumberFormat="1" applyFont="1" applyFill="1" applyBorder="1" applyAlignment="1" applyProtection="1">
      <alignment horizontal="center" vertical="center"/>
    </xf>
    <xf numFmtId="1" fontId="17" fillId="4" borderId="11" xfId="5" applyNumberFormat="1" applyFont="1" applyFill="1" applyBorder="1" applyAlignment="1" applyProtection="1">
      <alignment horizontal="left" vertical="center"/>
    </xf>
    <xf numFmtId="44" fontId="17" fillId="4" borderId="0" xfId="5" applyNumberFormat="1" applyFont="1" applyFill="1" applyBorder="1" applyAlignment="1" applyProtection="1">
      <alignment horizontal="center" vertical="center"/>
    </xf>
    <xf numFmtId="44" fontId="17" fillId="4" borderId="24" xfId="5" applyNumberFormat="1" applyFont="1" applyFill="1" applyBorder="1" applyAlignment="1" applyProtection="1">
      <alignment horizontal="center" vertical="center"/>
    </xf>
    <xf numFmtId="0" fontId="14" fillId="4" borderId="11" xfId="0" applyFont="1" applyFill="1" applyBorder="1" applyAlignment="1">
      <alignment horizontal="left" vertical="center"/>
    </xf>
    <xf numFmtId="0" fontId="14" fillId="4" borderId="12" xfId="0" applyFont="1" applyFill="1" applyBorder="1" applyAlignment="1" applyProtection="1">
      <alignment horizontal="left" vertical="center"/>
    </xf>
    <xf numFmtId="44" fontId="14" fillId="4" borderId="7" xfId="0" applyNumberFormat="1" applyFont="1" applyFill="1" applyBorder="1" applyAlignment="1" applyProtection="1">
      <alignment horizontal="center" vertical="center"/>
    </xf>
    <xf numFmtId="44" fontId="14" fillId="4" borderId="12" xfId="0" applyNumberFormat="1"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14" fillId="4" borderId="0" xfId="0" applyFont="1" applyFill="1" applyBorder="1" applyAlignment="1" applyProtection="1">
      <alignment vertical="center"/>
    </xf>
    <xf numFmtId="0" fontId="14" fillId="4" borderId="1" xfId="0" applyFont="1" applyFill="1" applyBorder="1" applyAlignment="1" applyProtection="1">
      <alignment vertical="center"/>
    </xf>
    <xf numFmtId="0" fontId="4" fillId="0" borderId="0" xfId="5" applyFont="1"/>
    <xf numFmtId="0" fontId="20" fillId="0" borderId="0" xfId="0" applyFont="1"/>
    <xf numFmtId="0" fontId="4" fillId="4" borderId="2" xfId="5" applyFont="1" applyFill="1" applyBorder="1"/>
    <xf numFmtId="0" fontId="4" fillId="4" borderId="3" xfId="5" applyFont="1" applyFill="1" applyBorder="1"/>
    <xf numFmtId="0" fontId="4" fillId="4" borderId="4" xfId="5" applyFont="1" applyFill="1" applyBorder="1"/>
    <xf numFmtId="0" fontId="4" fillId="4" borderId="5" xfId="5" applyFont="1" applyFill="1" applyBorder="1"/>
    <xf numFmtId="0" fontId="4" fillId="4" borderId="6" xfId="5" applyFont="1" applyFill="1" applyBorder="1"/>
    <xf numFmtId="0" fontId="4" fillId="6" borderId="15" xfId="5" applyFont="1" applyFill="1" applyBorder="1"/>
    <xf numFmtId="0" fontId="4" fillId="4" borderId="0" xfId="5" quotePrefix="1" applyFont="1" applyFill="1" applyAlignment="1">
      <alignment vertical="center"/>
    </xf>
    <xf numFmtId="0" fontId="4" fillId="4" borderId="0" xfId="5" applyFont="1" applyFill="1" applyAlignment="1">
      <alignment wrapText="1"/>
    </xf>
    <xf numFmtId="0" fontId="4" fillId="4" borderId="0" xfId="5" applyFont="1" applyFill="1" applyAlignment="1">
      <alignment horizontal="center"/>
    </xf>
    <xf numFmtId="0" fontId="4" fillId="4" borderId="0" xfId="5" applyFont="1" applyFill="1"/>
    <xf numFmtId="0" fontId="23" fillId="4" borderId="0" xfId="5" applyFont="1" applyFill="1" applyAlignment="1">
      <alignment horizontal="right" vertical="center"/>
    </xf>
    <xf numFmtId="0" fontId="4" fillId="6" borderId="7" xfId="5" applyFont="1" applyFill="1" applyBorder="1" applyAlignment="1" applyProtection="1">
      <alignment horizontal="left" vertical="center"/>
      <protection locked="0"/>
    </xf>
    <xf numFmtId="0" fontId="4" fillId="4" borderId="14" xfId="5" applyFont="1" applyFill="1" applyBorder="1" applyAlignment="1">
      <alignment horizontal="left" vertical="center"/>
    </xf>
    <xf numFmtId="49" fontId="20" fillId="0" borderId="0" xfId="0" applyNumberFormat="1" applyFont="1" applyAlignment="1">
      <alignment horizontal="left" vertical="center"/>
    </xf>
    <xf numFmtId="0" fontId="3" fillId="4" borderId="0" xfId="5" quotePrefix="1" applyFont="1" applyFill="1" applyAlignment="1">
      <alignment horizontal="left"/>
    </xf>
    <xf numFmtId="0" fontId="17" fillId="4" borderId="0" xfId="5" applyFont="1" applyFill="1"/>
    <xf numFmtId="0" fontId="4" fillId="4" borderId="7" xfId="5" applyFont="1" applyFill="1" applyBorder="1"/>
    <xf numFmtId="0" fontId="4" fillId="4" borderId="0" xfId="5" quotePrefix="1" applyFont="1" applyFill="1" applyAlignment="1">
      <alignment horizontal="left"/>
    </xf>
    <xf numFmtId="0" fontId="4" fillId="4" borderId="15" xfId="5" applyFont="1" applyFill="1" applyBorder="1" applyAlignment="1">
      <alignment horizontal="left" vertical="center" wrapText="1" indent="1"/>
    </xf>
    <xf numFmtId="0" fontId="4" fillId="0" borderId="0" xfId="5" applyFont="1" applyAlignment="1">
      <alignment vertical="center"/>
    </xf>
    <xf numFmtId="0" fontId="4" fillId="4" borderId="5" xfId="5" applyFont="1" applyFill="1" applyBorder="1" applyAlignment="1">
      <alignment vertical="center"/>
    </xf>
    <xf numFmtId="0" fontId="4" fillId="4" borderId="0" xfId="5" quotePrefix="1" applyFont="1" applyFill="1" applyAlignment="1">
      <alignment horizontal="left" vertical="center"/>
    </xf>
    <xf numFmtId="0" fontId="4" fillId="4" borderId="6" xfId="5" applyFont="1" applyFill="1" applyBorder="1" applyAlignment="1">
      <alignment vertical="center"/>
    </xf>
    <xf numFmtId="0" fontId="20" fillId="0" borderId="0" xfId="0" applyFont="1" applyAlignment="1">
      <alignment vertical="center"/>
    </xf>
    <xf numFmtId="0" fontId="4" fillId="4" borderId="0" xfId="5" applyFont="1" applyFill="1" applyAlignment="1">
      <alignment vertical="center"/>
    </xf>
    <xf numFmtId="0" fontId="4" fillId="4" borderId="0" xfId="5" quotePrefix="1" applyFont="1" applyFill="1" applyAlignment="1">
      <alignment horizontal="left" vertical="top" wrapText="1"/>
    </xf>
    <xf numFmtId="0" fontId="4" fillId="4" borderId="8" xfId="5" applyFont="1" applyFill="1" applyBorder="1"/>
    <xf numFmtId="0" fontId="4" fillId="4" borderId="9" xfId="5" applyFont="1" applyFill="1" applyBorder="1" applyAlignment="1">
      <alignment wrapText="1"/>
    </xf>
    <xf numFmtId="0" fontId="4" fillId="4" borderId="9" xfId="5" applyFont="1" applyFill="1" applyBorder="1"/>
    <xf numFmtId="0" fontId="4" fillId="4" borderId="10" xfId="5" applyFont="1" applyFill="1" applyBorder="1" applyAlignment="1">
      <alignment horizontal="right"/>
    </xf>
    <xf numFmtId="0" fontId="4" fillId="0" borderId="0" xfId="5" applyFont="1" applyAlignment="1">
      <alignment horizontal="right"/>
    </xf>
    <xf numFmtId="0" fontId="21" fillId="0" borderId="0" xfId="0" applyFont="1" applyAlignment="1">
      <alignment horizontal="left" vertical="center"/>
    </xf>
    <xf numFmtId="0" fontId="31" fillId="4" borderId="15" xfId="3" applyFont="1" applyFill="1" applyBorder="1" applyAlignment="1" applyProtection="1">
      <alignment horizontal="left" vertical="center"/>
      <protection locked="0"/>
    </xf>
    <xf numFmtId="0" fontId="3" fillId="4" borderId="1" xfId="5" applyFont="1" applyFill="1" applyBorder="1" applyAlignment="1">
      <alignment horizontal="center" vertical="center"/>
    </xf>
    <xf numFmtId="0" fontId="3" fillId="4" borderId="7" xfId="5" applyFont="1" applyFill="1" applyBorder="1" applyAlignment="1" applyProtection="1">
      <alignment horizontal="center" vertical="center"/>
    </xf>
    <xf numFmtId="0" fontId="40" fillId="0" borderId="0" xfId="5" applyFont="1" applyFill="1" applyBorder="1" applyAlignment="1" applyProtection="1">
      <alignment horizontal="left" vertical="center"/>
    </xf>
    <xf numFmtId="0" fontId="17" fillId="4" borderId="0" xfId="0" applyFont="1" applyFill="1" applyProtection="1"/>
    <xf numFmtId="44" fontId="17" fillId="4" borderId="23" xfId="0" applyNumberFormat="1" applyFont="1" applyFill="1" applyBorder="1" applyAlignment="1" applyProtection="1">
      <alignment horizontal="center" vertical="center"/>
      <protection locked="0"/>
    </xf>
    <xf numFmtId="1" fontId="17" fillId="4" borderId="18" xfId="0" applyNumberFormat="1" applyFont="1" applyFill="1" applyBorder="1" applyAlignment="1" applyProtection="1">
      <alignment horizontal="center" vertical="center"/>
    </xf>
    <xf numFmtId="0" fontId="17" fillId="4" borderId="18" xfId="0" applyFont="1" applyFill="1" applyBorder="1" applyAlignment="1" applyProtection="1">
      <alignment horizontal="center" vertical="center"/>
    </xf>
    <xf numFmtId="0" fontId="0" fillId="0" borderId="0" xfId="0" applyBorder="1" applyAlignment="1" applyProtection="1">
      <alignment vertical="center"/>
    </xf>
    <xf numFmtId="0" fontId="25" fillId="4" borderId="0" xfId="0" applyFont="1" applyFill="1" applyBorder="1" applyAlignment="1" applyProtection="1">
      <alignment horizontal="center" vertical="center"/>
    </xf>
    <xf numFmtId="44" fontId="20" fillId="4" borderId="21" xfId="0" applyNumberFormat="1" applyFont="1" applyFill="1" applyBorder="1" applyProtection="1"/>
    <xf numFmtId="166" fontId="17" fillId="5" borderId="15" xfId="0" applyNumberFormat="1" applyFont="1" applyFill="1" applyBorder="1" applyAlignment="1" applyProtection="1">
      <alignment horizontal="center" vertical="center"/>
      <protection locked="0"/>
    </xf>
    <xf numFmtId="49" fontId="18" fillId="4" borderId="16" xfId="0" applyNumberFormat="1" applyFont="1" applyFill="1" applyBorder="1" applyAlignment="1">
      <alignment vertical="center"/>
    </xf>
    <xf numFmtId="0" fontId="14" fillId="4" borderId="1" xfId="0" applyFont="1" applyFill="1" applyBorder="1" applyAlignment="1">
      <alignment vertical="center"/>
    </xf>
    <xf numFmtId="0" fontId="23" fillId="4" borderId="1" xfId="0" applyFont="1" applyFill="1" applyBorder="1" applyAlignment="1">
      <alignment horizontal="center" vertical="center"/>
    </xf>
    <xf numFmtId="0" fontId="23" fillId="4" borderId="21" xfId="0" applyFont="1" applyFill="1" applyBorder="1" applyAlignment="1">
      <alignment horizontal="center" vertical="center"/>
    </xf>
    <xf numFmtId="0" fontId="15" fillId="4" borderId="17" xfId="0" applyFont="1" applyFill="1" applyBorder="1" applyAlignment="1">
      <alignment horizontal="center" vertical="center"/>
    </xf>
    <xf numFmtId="0" fontId="15" fillId="0" borderId="11" xfId="0" applyFont="1" applyBorder="1" applyAlignment="1">
      <alignment horizontal="center" vertical="center"/>
    </xf>
    <xf numFmtId="164" fontId="14" fillId="4" borderId="14" xfId="0" applyNumberFormat="1" applyFont="1" applyFill="1" applyBorder="1" applyAlignment="1" applyProtection="1">
      <alignment vertical="center"/>
    </xf>
    <xf numFmtId="49" fontId="14" fillId="4" borderId="13" xfId="0" applyNumberFormat="1" applyFont="1" applyFill="1" applyBorder="1" applyAlignment="1">
      <alignment vertical="center"/>
    </xf>
    <xf numFmtId="0" fontId="14" fillId="4" borderId="23" xfId="0" applyFont="1" applyFill="1" applyBorder="1" applyAlignment="1">
      <alignment vertical="center"/>
    </xf>
    <xf numFmtId="0" fontId="14" fillId="4" borderId="5" xfId="0" applyFont="1" applyFill="1" applyBorder="1" applyAlignment="1">
      <alignment vertical="center"/>
    </xf>
    <xf numFmtId="0" fontId="19" fillId="4" borderId="22" xfId="0" applyFont="1" applyFill="1" applyBorder="1" applyAlignment="1">
      <alignment vertical="center"/>
    </xf>
    <xf numFmtId="0" fontId="14" fillId="4" borderId="6" xfId="0" applyFont="1" applyFill="1" applyBorder="1" applyAlignment="1">
      <alignment vertical="center"/>
    </xf>
    <xf numFmtId="0" fontId="14" fillId="0" borderId="0" xfId="0" applyFont="1" applyAlignment="1">
      <alignment vertical="center" wrapText="1"/>
    </xf>
    <xf numFmtId="44" fontId="14" fillId="6" borderId="15" xfId="1" applyNumberFormat="1" applyFont="1" applyFill="1" applyBorder="1" applyAlignment="1" applyProtection="1">
      <alignment vertical="center"/>
      <protection locked="0"/>
    </xf>
    <xf numFmtId="0" fontId="14" fillId="0" borderId="0" xfId="0" applyFont="1"/>
    <xf numFmtId="0" fontId="14" fillId="4" borderId="5" xfId="0" applyFont="1" applyFill="1" applyBorder="1"/>
    <xf numFmtId="0" fontId="15" fillId="4" borderId="0" xfId="0" applyFont="1" applyFill="1" applyAlignment="1">
      <alignment horizontal="center" vertical="center"/>
    </xf>
    <xf numFmtId="0" fontId="15" fillId="4" borderId="1" xfId="0" applyFont="1" applyFill="1" applyBorder="1" applyAlignment="1">
      <alignment vertical="center"/>
    </xf>
    <xf numFmtId="0" fontId="14" fillId="4" borderId="0" xfId="0" applyFont="1" applyFill="1"/>
    <xf numFmtId="0" fontId="14" fillId="4" borderId="6" xfId="0" applyFont="1" applyFill="1" applyBorder="1"/>
    <xf numFmtId="0" fontId="28" fillId="4" borderId="0" xfId="0" applyFont="1" applyFill="1" applyAlignment="1">
      <alignment vertical="center"/>
    </xf>
    <xf numFmtId="0" fontId="23" fillId="0" borderId="0" xfId="0" applyFont="1" applyAlignment="1">
      <alignment horizontal="left" vertical="center"/>
    </xf>
    <xf numFmtId="0" fontId="14" fillId="0" borderId="0" xfId="0" applyFont="1" applyAlignment="1">
      <alignment horizontal="left" vertical="center"/>
    </xf>
    <xf numFmtId="0" fontId="14" fillId="4" borderId="0" xfId="0" applyFont="1" applyFill="1" applyAlignment="1">
      <alignment vertical="center"/>
    </xf>
    <xf numFmtId="0" fontId="17" fillId="0" borderId="0" xfId="0" applyFont="1" applyAlignment="1">
      <alignment vertical="center"/>
    </xf>
    <xf numFmtId="0" fontId="14" fillId="4" borderId="0" xfId="0" applyFont="1" applyFill="1" applyAlignment="1">
      <alignment horizontal="center" vertical="center"/>
    </xf>
    <xf numFmtId="49" fontId="14" fillId="4" borderId="0" xfId="0" applyNumberFormat="1" applyFont="1" applyFill="1" applyAlignment="1">
      <alignment vertical="center"/>
    </xf>
    <xf numFmtId="0" fontId="14" fillId="4" borderId="8" xfId="0" applyFont="1" applyFill="1" applyBorder="1" applyAlignment="1">
      <alignment vertical="center"/>
    </xf>
    <xf numFmtId="0" fontId="15" fillId="4" borderId="9" xfId="0" applyFont="1" applyFill="1" applyBorder="1" applyAlignment="1">
      <alignment horizontal="center" vertical="center"/>
    </xf>
    <xf numFmtId="49" fontId="14" fillId="4" borderId="9" xfId="0" applyNumberFormat="1" applyFont="1" applyFill="1" applyBorder="1" applyAlignment="1">
      <alignment vertical="center"/>
    </xf>
    <xf numFmtId="0" fontId="14" fillId="4" borderId="9" xfId="0" applyFont="1" applyFill="1" applyBorder="1" applyAlignment="1">
      <alignment vertical="center"/>
    </xf>
    <xf numFmtId="0" fontId="28" fillId="4" borderId="9" xfId="0" applyFont="1" applyFill="1" applyBorder="1" applyAlignment="1">
      <alignment vertical="center"/>
    </xf>
    <xf numFmtId="0" fontId="14" fillId="4" borderId="10" xfId="0" applyFont="1" applyFill="1" applyBorder="1" applyAlignment="1">
      <alignment vertical="center"/>
    </xf>
    <xf numFmtId="0" fontId="14" fillId="4" borderId="7" xfId="0" applyFont="1" applyFill="1" applyBorder="1" applyAlignment="1" applyProtection="1">
      <alignment vertical="center" wrapText="1"/>
    </xf>
    <xf numFmtId="0" fontId="15" fillId="4" borderId="7" xfId="0" applyFont="1" applyFill="1" applyBorder="1" applyAlignment="1" applyProtection="1">
      <alignment vertical="center" wrapText="1"/>
    </xf>
    <xf numFmtId="0" fontId="14" fillId="4" borderId="19" xfId="0" applyFont="1" applyFill="1" applyBorder="1" applyAlignment="1" applyProtection="1">
      <alignment vertical="center" wrapText="1"/>
    </xf>
    <xf numFmtId="0" fontId="19" fillId="0" borderId="0" xfId="0" applyFont="1" applyAlignment="1" applyProtection="1">
      <alignment vertical="center"/>
    </xf>
    <xf numFmtId="0" fontId="19" fillId="4" borderId="11" xfId="0" applyFont="1" applyFill="1" applyBorder="1" applyAlignment="1" applyProtection="1">
      <alignment vertical="center"/>
    </xf>
    <xf numFmtId="44" fontId="14" fillId="6" borderId="15" xfId="1" applyFont="1" applyFill="1" applyBorder="1" applyAlignment="1" applyProtection="1">
      <alignment vertical="center"/>
      <protection locked="0"/>
    </xf>
    <xf numFmtId="0" fontId="2" fillId="4" borderId="0" xfId="5" applyFont="1" applyFill="1" applyAlignment="1">
      <alignment horizontal="center" vertical="center"/>
    </xf>
    <xf numFmtId="0" fontId="34" fillId="4" borderId="0" xfId="0" applyFont="1" applyFill="1" applyAlignment="1">
      <alignment horizontal="center" vertical="center"/>
    </xf>
    <xf numFmtId="0" fontId="4" fillId="0" borderId="0" xfId="0" applyFont="1" applyFill="1" applyBorder="1" applyAlignment="1" applyProtection="1">
      <alignment horizontal="left" vertical="center" wrapText="1"/>
    </xf>
    <xf numFmtId="0" fontId="35" fillId="4" borderId="0" xfId="0" applyFont="1" applyFill="1" applyBorder="1" applyAlignment="1" applyProtection="1">
      <alignment horizontal="center" vertical="center"/>
    </xf>
    <xf numFmtId="0" fontId="0" fillId="4" borderId="0" xfId="0" applyFill="1" applyAlignment="1" applyProtection="1">
      <alignment horizontal="center" vertical="center"/>
    </xf>
    <xf numFmtId="0" fontId="20" fillId="4" borderId="0" xfId="0" applyFont="1" applyFill="1" applyBorder="1" applyAlignment="1" applyProtection="1">
      <alignment horizontal="center" vertical="center"/>
    </xf>
    <xf numFmtId="0" fontId="10" fillId="4" borderId="16" xfId="0" applyFont="1" applyFill="1" applyBorder="1" applyAlignment="1">
      <alignment vertical="top" wrapText="1"/>
    </xf>
    <xf numFmtId="0" fontId="10" fillId="4" borderId="1" xfId="0" applyFont="1" applyFill="1" applyBorder="1" applyAlignment="1">
      <alignment vertical="top" wrapText="1"/>
    </xf>
    <xf numFmtId="0" fontId="14" fillId="0" borderId="1" xfId="0" applyFont="1" applyBorder="1" applyAlignment="1">
      <alignment vertical="top" wrapText="1"/>
    </xf>
    <xf numFmtId="0" fontId="14" fillId="0" borderId="21" xfId="0" applyFont="1" applyBorder="1" applyAlignment="1">
      <alignment vertical="top" wrapText="1"/>
    </xf>
    <xf numFmtId="0" fontId="14" fillId="0" borderId="17" xfId="0" applyFont="1" applyBorder="1" applyAlignment="1">
      <alignment vertical="top" wrapText="1"/>
    </xf>
    <xf numFmtId="0" fontId="14" fillId="0" borderId="0" xfId="0" applyFont="1" applyAlignment="1">
      <alignment vertical="top" wrapText="1"/>
    </xf>
    <xf numFmtId="0" fontId="14" fillId="0" borderId="22" xfId="0" applyFont="1" applyBorder="1" applyAlignment="1">
      <alignment vertical="top" wrapText="1"/>
    </xf>
    <xf numFmtId="0" fontId="14" fillId="0" borderId="18" xfId="0" applyFont="1" applyBorder="1" applyAlignment="1">
      <alignment vertical="top" wrapText="1"/>
    </xf>
    <xf numFmtId="0" fontId="14" fillId="0" borderId="7" xfId="0" applyFont="1" applyBorder="1" applyAlignment="1">
      <alignment vertical="top" wrapText="1"/>
    </xf>
    <xf numFmtId="0" fontId="14" fillId="0" borderId="19" xfId="0" applyFont="1" applyBorder="1" applyAlignment="1">
      <alignment vertical="top" wrapText="1"/>
    </xf>
    <xf numFmtId="0" fontId="20" fillId="4" borderId="2" xfId="0" applyFont="1" applyFill="1" applyBorder="1" applyAlignment="1">
      <alignment vertical="center" wrapText="1"/>
    </xf>
    <xf numFmtId="0" fontId="20" fillId="4" borderId="3"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41" fillId="4" borderId="9" xfId="0" applyFont="1" applyFill="1" applyBorder="1" applyAlignment="1">
      <alignment horizontal="center" vertical="center"/>
    </xf>
    <xf numFmtId="0" fontId="0" fillId="0" borderId="9" xfId="0" applyBorder="1" applyAlignment="1">
      <alignment horizontal="center" vertical="center"/>
    </xf>
    <xf numFmtId="0" fontId="42" fillId="4" borderId="16" xfId="0" applyFont="1" applyFill="1" applyBorder="1" applyAlignment="1">
      <alignment horizontal="center" wrapText="1"/>
    </xf>
    <xf numFmtId="0" fontId="0" fillId="0" borderId="1" xfId="0" applyBorder="1" applyAlignment="1">
      <alignment horizontal="center"/>
    </xf>
    <xf numFmtId="0" fontId="0" fillId="0" borderId="21" xfId="0" applyBorder="1" applyAlignment="1">
      <alignment horizontal="center"/>
    </xf>
    <xf numFmtId="0" fontId="14" fillId="0" borderId="17" xfId="0" applyFont="1" applyBorder="1" applyAlignment="1">
      <alignment vertical="center" wrapText="1"/>
    </xf>
    <xf numFmtId="0" fontId="0" fillId="0" borderId="0" xfId="0" applyAlignment="1">
      <alignment vertical="center"/>
    </xf>
    <xf numFmtId="0" fontId="0" fillId="0" borderId="22"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0" fillId="0" borderId="19" xfId="0" applyBorder="1" applyAlignment="1">
      <alignment vertical="center"/>
    </xf>
    <xf numFmtId="5" fontId="23" fillId="0" borderId="13" xfId="0" applyNumberFormat="1"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23" xfId="0" applyFont="1" applyBorder="1" applyAlignment="1" applyProtection="1">
      <alignment horizontal="center" vertical="center"/>
    </xf>
    <xf numFmtId="0" fontId="36" fillId="4" borderId="3" xfId="0" applyFont="1" applyFill="1" applyBorder="1" applyAlignment="1" applyProtection="1">
      <alignment horizontal="center" vertical="center"/>
    </xf>
    <xf numFmtId="0" fontId="32" fillId="4" borderId="3" xfId="0" applyFont="1" applyFill="1" applyBorder="1" applyAlignment="1" applyProtection="1">
      <alignment horizontal="center" vertical="center"/>
    </xf>
    <xf numFmtId="0" fontId="23" fillId="4" borderId="16"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3" fillId="4" borderId="21" xfId="0" applyFont="1" applyFill="1" applyBorder="1" applyAlignment="1" applyProtection="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49" fontId="14" fillId="4" borderId="0" xfId="0" applyNumberFormat="1" applyFont="1" applyFill="1" applyAlignment="1">
      <alignment vertical="center" wrapText="1"/>
    </xf>
    <xf numFmtId="49" fontId="14" fillId="4" borderId="13" xfId="0" applyNumberFormat="1" applyFont="1" applyFill="1" applyBorder="1" applyAlignment="1" applyProtection="1">
      <alignment vertical="center"/>
    </xf>
    <xf numFmtId="0" fontId="14" fillId="4" borderId="23" xfId="0" applyFont="1" applyFill="1" applyBorder="1" applyAlignment="1" applyProtection="1">
      <alignment vertical="center"/>
    </xf>
    <xf numFmtId="49" fontId="14" fillId="4" borderId="13" xfId="0" applyNumberFormat="1" applyFont="1" applyFill="1" applyBorder="1" applyAlignment="1">
      <alignment vertical="center"/>
    </xf>
    <xf numFmtId="0" fontId="14" fillId="4" borderId="23" xfId="0" applyFont="1" applyFill="1" applyBorder="1" applyAlignment="1">
      <alignment vertical="center"/>
    </xf>
    <xf numFmtId="0" fontId="14" fillId="4" borderId="0" xfId="0" applyFont="1" applyFill="1" applyAlignment="1">
      <alignment vertical="center" wrapText="1"/>
    </xf>
    <xf numFmtId="0" fontId="19" fillId="4" borderId="7" xfId="0" applyFont="1" applyFill="1" applyBorder="1" applyAlignment="1" applyProtection="1">
      <alignment vertical="center" wrapText="1"/>
    </xf>
    <xf numFmtId="0" fontId="14" fillId="4" borderId="7" xfId="0" applyFont="1" applyFill="1" applyBorder="1" applyAlignment="1" applyProtection="1">
      <alignment vertical="center" wrapText="1"/>
    </xf>
    <xf numFmtId="49" fontId="14" fillId="4" borderId="16" xfId="0" applyNumberFormat="1" applyFont="1" applyFill="1" applyBorder="1" applyAlignment="1" applyProtection="1">
      <alignment vertical="center"/>
    </xf>
    <xf numFmtId="0" fontId="14" fillId="4" borderId="1" xfId="0" applyFont="1" applyFill="1" applyBorder="1" applyAlignment="1" applyProtection="1">
      <alignment vertical="center"/>
    </xf>
    <xf numFmtId="49" fontId="15" fillId="4" borderId="17" xfId="0" applyNumberFormat="1" applyFont="1" applyFill="1" applyBorder="1" applyAlignment="1" applyProtection="1">
      <alignment horizontal="right" vertical="center"/>
    </xf>
    <xf numFmtId="0" fontId="15" fillId="4" borderId="22" xfId="0" applyFont="1" applyFill="1" applyBorder="1" applyAlignment="1" applyProtection="1">
      <alignment horizontal="right" vertical="center"/>
    </xf>
    <xf numFmtId="49" fontId="14" fillId="4" borderId="18" xfId="0" applyNumberFormat="1" applyFont="1" applyFill="1" applyBorder="1" applyAlignment="1" applyProtection="1">
      <alignment vertical="center"/>
    </xf>
    <xf numFmtId="0" fontId="14" fillId="4" borderId="7" xfId="0" applyFont="1" applyFill="1" applyBorder="1" applyAlignment="1" applyProtection="1">
      <alignment vertical="center"/>
    </xf>
    <xf numFmtId="49" fontId="15" fillId="4" borderId="13" xfId="0" applyNumberFormat="1" applyFont="1" applyFill="1" applyBorder="1" applyAlignment="1" applyProtection="1">
      <alignment vertical="center"/>
    </xf>
    <xf numFmtId="0" fontId="15" fillId="4" borderId="23" xfId="0" applyFont="1" applyFill="1" applyBorder="1" applyAlignment="1" applyProtection="1">
      <alignment vertical="center"/>
    </xf>
    <xf numFmtId="49" fontId="15" fillId="4" borderId="18" xfId="0" applyNumberFormat="1" applyFont="1" applyFill="1" applyBorder="1" applyAlignment="1" applyProtection="1">
      <alignment vertical="center"/>
    </xf>
    <xf numFmtId="0" fontId="15" fillId="4" borderId="19" xfId="0" applyFont="1" applyFill="1" applyBorder="1" applyAlignment="1" applyProtection="1">
      <alignment vertical="center"/>
    </xf>
    <xf numFmtId="0" fontId="15" fillId="4" borderId="0" xfId="0" applyFont="1" applyFill="1" applyBorder="1" applyAlignment="1" applyProtection="1">
      <alignment horizontal="right" vertical="center"/>
    </xf>
    <xf numFmtId="49" fontId="14" fillId="4" borderId="17" xfId="0" applyNumberFormat="1" applyFont="1" applyFill="1" applyBorder="1" applyAlignment="1" applyProtection="1">
      <alignment vertical="center"/>
    </xf>
    <xf numFmtId="0" fontId="14" fillId="4" borderId="0" xfId="0" applyFont="1" applyFill="1" applyBorder="1" applyAlignment="1" applyProtection="1">
      <alignment vertical="center"/>
    </xf>
    <xf numFmtId="49" fontId="25" fillId="7" borderId="16" xfId="0" applyNumberFormat="1" applyFont="1" applyFill="1" applyBorder="1" applyAlignment="1" applyProtection="1">
      <alignment horizontal="center" vertical="center"/>
    </xf>
    <xf numFmtId="0" fontId="25" fillId="7" borderId="21" xfId="0" applyFont="1" applyFill="1" applyBorder="1" applyAlignment="1" applyProtection="1">
      <alignment horizontal="center" vertical="center"/>
    </xf>
    <xf numFmtId="0" fontId="0" fillId="0" borderId="18" xfId="0" applyBorder="1" applyAlignment="1" applyProtection="1">
      <alignment vertical="center"/>
    </xf>
    <xf numFmtId="0" fontId="0" fillId="0" borderId="19" xfId="0" applyBorder="1" applyAlignment="1" applyProtection="1">
      <alignment vertical="center"/>
    </xf>
    <xf numFmtId="49" fontId="15" fillId="4" borderId="13" xfId="0" applyNumberFormat="1" applyFont="1" applyFill="1" applyBorder="1" applyAlignment="1">
      <alignment vertical="center"/>
    </xf>
    <xf numFmtId="0" fontId="15" fillId="4" borderId="23" xfId="0" applyFont="1" applyFill="1" applyBorder="1" applyAlignment="1">
      <alignment vertical="center"/>
    </xf>
    <xf numFmtId="49" fontId="14" fillId="4" borderId="13" xfId="0" applyNumberFormat="1" applyFont="1" applyFill="1" applyBorder="1" applyAlignment="1">
      <alignment vertical="center" wrapText="1"/>
    </xf>
    <xf numFmtId="0" fontId="14" fillId="4" borderId="23" xfId="0" applyFont="1" applyFill="1" applyBorder="1" applyAlignment="1">
      <alignment vertical="center" wrapText="1"/>
    </xf>
    <xf numFmtId="49" fontId="14" fillId="4" borderId="13" xfId="0" applyNumberFormat="1" applyFont="1" applyFill="1" applyBorder="1" applyAlignment="1" applyProtection="1">
      <alignment vertical="center" wrapText="1"/>
    </xf>
    <xf numFmtId="0" fontId="14" fillId="4" borderId="23" xfId="0" applyFont="1" applyFill="1" applyBorder="1" applyAlignment="1" applyProtection="1">
      <alignment vertical="center" wrapText="1"/>
    </xf>
    <xf numFmtId="0" fontId="23" fillId="0" borderId="0" xfId="0" applyFont="1" applyAlignment="1">
      <alignment horizontal="center" vertical="center"/>
    </xf>
    <xf numFmtId="0" fontId="37" fillId="0" borderId="3" xfId="0" applyFont="1" applyBorder="1" applyAlignment="1">
      <alignment horizontal="center" vertical="center"/>
    </xf>
    <xf numFmtId="49" fontId="25" fillId="7" borderId="24"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0" fillId="0" borderId="12" xfId="0" applyBorder="1" applyAlignment="1" applyProtection="1">
      <alignment horizontal="center" vertical="center"/>
    </xf>
    <xf numFmtId="0" fontId="15" fillId="4" borderId="24" xfId="0" applyFont="1" applyFill="1" applyBorder="1" applyAlignment="1" applyProtection="1">
      <alignment horizontal="center" vertical="center"/>
    </xf>
    <xf numFmtId="0" fontId="0" fillId="0" borderId="12" xfId="0" applyBorder="1" applyAlignment="1" applyProtection="1">
      <alignment vertical="center"/>
    </xf>
    <xf numFmtId="0" fontId="23" fillId="4" borderId="24" xfId="0" applyFont="1" applyFill="1" applyBorder="1" applyAlignment="1" applyProtection="1">
      <alignment horizontal="center" vertical="center"/>
    </xf>
    <xf numFmtId="49" fontId="14" fillId="4" borderId="18" xfId="0" applyNumberFormat="1" applyFont="1" applyFill="1" applyBorder="1" applyAlignment="1">
      <alignment horizontal="left" vertical="center" wrapText="1"/>
    </xf>
    <xf numFmtId="0" fontId="0" fillId="0" borderId="7" xfId="0" applyBorder="1" applyAlignment="1">
      <alignment horizontal="left" vertical="center" wrapText="1"/>
    </xf>
    <xf numFmtId="0" fontId="0" fillId="0" borderId="19" xfId="0"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38" fillId="0" borderId="0" xfId="0" applyFont="1" applyBorder="1" applyAlignment="1">
      <alignment horizontal="center" vertical="center" wrapText="1"/>
    </xf>
    <xf numFmtId="0" fontId="39" fillId="0" borderId="0" xfId="0" applyFont="1" applyBorder="1" applyAlignment="1">
      <alignment vertical="center"/>
    </xf>
    <xf numFmtId="0" fontId="32" fillId="0" borderId="0" xfId="0" applyFont="1" applyAlignment="1">
      <alignment horizontal="center" vertical="center"/>
    </xf>
  </cellXfs>
  <cellStyles count="7">
    <cellStyle name="Currency" xfId="1" builtinId="4"/>
    <cellStyle name="Currency 2" xfId="2" xr:uid="{00000000-0005-0000-0000-000001000000}"/>
    <cellStyle name="Hyperlink" xfId="3" builtinId="8"/>
    <cellStyle name="Normal" xfId="0" builtinId="0"/>
    <cellStyle name="Normal 10" xfId="4" xr:uid="{00000000-0005-0000-0000-000004000000}"/>
    <cellStyle name="Normal 2" xfId="5" xr:uid="{00000000-0005-0000-0000-000005000000}"/>
    <cellStyle name="Normal 3 2" xfId="6" xr:uid="{00000000-0005-0000-0000-000006000000}"/>
  </cellStyles>
  <dxfs count="60">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2" formatCode="0.00"/>
      <alignmen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168" formatCode="0.0000"/>
      <alignment vertical="center" textRotation="0"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vertical="center" textRotation="0" indent="0" justifyLastLine="0" shrinkToFit="0" readingOrder="0"/>
      <border diagonalUp="0" diagonalDown="0" outline="0">
        <left style="thin">
          <color theme="0"/>
        </left>
        <right/>
        <top style="thin">
          <color theme="0"/>
        </top>
        <bottom/>
      </border>
    </dxf>
    <dxf>
      <font>
        <strike val="0"/>
        <outline val="0"/>
        <shadow val="0"/>
        <vertAlign val="baseline"/>
        <sz val="10"/>
        <name val="Calibri"/>
        <scheme val="minor"/>
      </font>
      <alignment vertical="center" textRotation="0" indent="0" justifyLastLine="0" shrinkToFit="0" readingOrder="0"/>
    </dxf>
    <dxf>
      <font>
        <strike val="0"/>
        <outline val="0"/>
        <shadow val="0"/>
        <vertAlign val="baseline"/>
        <sz val="10"/>
        <name val="Calibri"/>
        <scheme val="minor"/>
      </font>
      <alignment horizontal="center" vertical="center" textRotation="0" indent="0" justifyLastLine="0" shrinkToFit="0" readingOrder="0"/>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dxf>
    <dxf>
      <font>
        <color rgb="FF9C0006"/>
      </font>
      <fill>
        <patternFill>
          <bgColor rgb="FFFFC7CE"/>
        </patternFill>
      </fill>
    </dxf>
    <dxf>
      <font>
        <color rgb="FF9C0006"/>
      </font>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C17:G307" totalsRowShown="0" headerRowDxfId="11" dataDxfId="10">
  <autoFilter ref="C17:G307" xr:uid="{00000000-0009-0000-0100-000001000000}"/>
  <tableColumns count="5">
    <tableColumn id="1" xr3:uid="{00000000-0010-0000-0000-000001000000}" name="School Corporation" dataDxfId="9" totalsRowDxfId="8"/>
    <tableColumn id="2" xr3:uid="{00000000-0010-0000-0000-000002000000}" name="FY 20 Index" dataDxfId="7" totalsRowDxfId="6"/>
    <tableColumn id="3" xr3:uid="{00000000-0010-0000-0000-000003000000}" name="FY 20 $/ADM" dataDxfId="5" totalsRowDxfId="4">
      <calculatedColumnFormula>(D18*$J$20)+$J$19</calculatedColumnFormula>
    </tableColumn>
    <tableColumn id="5" xr3:uid="{00000000-0010-0000-0000-000005000000}" name="FY 21 Index" dataDxfId="3" totalsRowDxfId="2"/>
    <tableColumn id="4" xr3:uid="{00000000-0010-0000-0000-000004000000}" name="FY 21 $/ADM" dataDxfId="1" totalsRowDxfId="0">
      <calculatedColumnFormula>(F18*$K$20)+$K$19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Y44"/>
  <sheetViews>
    <sheetView workbookViewId="0">
      <selection activeCell="E6" sqref="E6"/>
    </sheetView>
  </sheetViews>
  <sheetFormatPr defaultColWidth="9.140625" defaultRowHeight="12.75" x14ac:dyDescent="0.2"/>
  <cols>
    <col min="1" max="3" width="3" style="355" customWidth="1"/>
    <col min="4" max="4" width="30.7109375" style="355" customWidth="1"/>
    <col min="5" max="5" width="59.7109375" style="355" customWidth="1"/>
    <col min="6" max="7" width="3" style="355" customWidth="1"/>
    <col min="8" max="8" width="9.140625" style="355"/>
    <col min="9" max="16384" width="9.140625" style="45"/>
  </cols>
  <sheetData>
    <row r="1" spans="1:25" ht="15" customHeight="1" thickBot="1" x14ac:dyDescent="0.25">
      <c r="A1" s="354"/>
      <c r="B1" s="354"/>
      <c r="C1" s="354"/>
      <c r="D1" s="354"/>
      <c r="E1" s="354"/>
      <c r="F1" s="354"/>
      <c r="G1" s="354"/>
      <c r="I1" s="89"/>
      <c r="J1" s="90"/>
      <c r="K1" s="90"/>
      <c r="L1" s="90"/>
      <c r="M1" s="90"/>
      <c r="N1" s="90"/>
      <c r="O1" s="90"/>
      <c r="P1" s="90"/>
      <c r="Q1" s="90"/>
      <c r="R1" s="90"/>
      <c r="S1" s="90"/>
      <c r="T1" s="90"/>
      <c r="U1" s="90"/>
      <c r="V1" s="90"/>
      <c r="W1" s="90"/>
      <c r="X1" s="90"/>
      <c r="Y1" s="90"/>
    </row>
    <row r="2" spans="1:25" ht="15" customHeight="1" x14ac:dyDescent="0.2">
      <c r="A2" s="354"/>
      <c r="B2" s="356"/>
      <c r="C2" s="357"/>
      <c r="D2" s="357"/>
      <c r="E2" s="357"/>
      <c r="F2" s="358"/>
      <c r="G2" s="354"/>
      <c r="I2" s="90"/>
      <c r="J2" s="90"/>
      <c r="K2" s="90"/>
      <c r="L2" s="90"/>
      <c r="M2" s="90"/>
      <c r="N2" s="90"/>
      <c r="O2" s="90"/>
      <c r="P2" s="90"/>
      <c r="Q2" s="90"/>
      <c r="R2" s="90"/>
      <c r="S2" s="90"/>
      <c r="T2" s="90"/>
      <c r="U2" s="90"/>
      <c r="V2" s="90"/>
      <c r="W2" s="90"/>
      <c r="X2" s="90"/>
      <c r="Y2" s="90"/>
    </row>
    <row r="3" spans="1:25" ht="18.75" x14ac:dyDescent="0.2">
      <c r="A3" s="354"/>
      <c r="B3" s="359"/>
      <c r="C3" s="439" t="s">
        <v>461</v>
      </c>
      <c r="D3" s="440"/>
      <c r="E3" s="440"/>
      <c r="F3" s="360"/>
      <c r="G3" s="354"/>
      <c r="I3" s="90"/>
      <c r="J3" s="90"/>
      <c r="K3" s="90"/>
      <c r="L3" s="90"/>
      <c r="M3" s="90"/>
      <c r="N3" s="90"/>
      <c r="O3" s="90"/>
      <c r="P3" s="90"/>
      <c r="Q3" s="90"/>
      <c r="R3" s="90"/>
      <c r="S3" s="90"/>
      <c r="T3" s="90"/>
      <c r="U3" s="90"/>
      <c r="V3" s="90"/>
      <c r="W3" s="90"/>
      <c r="X3" s="90"/>
      <c r="Y3" s="90"/>
    </row>
    <row r="4" spans="1:25" ht="15" customHeight="1" x14ac:dyDescent="0.2">
      <c r="A4" s="354"/>
      <c r="B4" s="359"/>
      <c r="C4" s="361"/>
      <c r="D4" s="362" t="s">
        <v>94</v>
      </c>
      <c r="E4" s="363"/>
      <c r="F4" s="360"/>
      <c r="G4" s="354"/>
      <c r="P4" s="90"/>
      <c r="Q4" s="90"/>
      <c r="R4" s="90"/>
      <c r="S4" s="90"/>
      <c r="T4" s="90"/>
      <c r="U4" s="90"/>
      <c r="V4" s="90"/>
      <c r="W4" s="90"/>
      <c r="X4" s="90"/>
      <c r="Y4" s="90"/>
    </row>
    <row r="5" spans="1:25" ht="15" customHeight="1" x14ac:dyDescent="0.2">
      <c r="A5" s="354"/>
      <c r="B5" s="359"/>
      <c r="C5" s="364"/>
      <c r="D5" s="364"/>
      <c r="E5" s="365"/>
      <c r="F5" s="360"/>
      <c r="G5" s="354"/>
      <c r="I5" s="91"/>
      <c r="J5" s="90"/>
      <c r="K5" s="90"/>
      <c r="L5" s="90"/>
      <c r="M5" s="90"/>
      <c r="N5" s="90"/>
      <c r="O5" s="90"/>
      <c r="P5" s="90"/>
      <c r="Q5" s="90"/>
      <c r="R5" s="90"/>
      <c r="S5" s="90"/>
      <c r="T5" s="90"/>
      <c r="U5" s="90"/>
      <c r="V5" s="90"/>
      <c r="W5" s="90"/>
      <c r="X5" s="90"/>
      <c r="Y5" s="90"/>
    </row>
    <row r="6" spans="1:25" ht="15" customHeight="1" x14ac:dyDescent="0.2">
      <c r="A6" s="354"/>
      <c r="B6" s="359"/>
      <c r="C6" s="364"/>
      <c r="D6" s="366" t="s">
        <v>77</v>
      </c>
      <c r="E6" s="367" t="s">
        <v>460</v>
      </c>
      <c r="F6" s="360"/>
      <c r="G6" s="354"/>
      <c r="H6" s="387" t="s">
        <v>435</v>
      </c>
      <c r="I6" s="91"/>
      <c r="J6" s="90"/>
      <c r="K6" s="90"/>
      <c r="L6" s="90"/>
      <c r="M6" s="90"/>
      <c r="N6" s="90"/>
      <c r="O6" s="90"/>
      <c r="P6" s="90"/>
      <c r="Q6" s="90"/>
      <c r="R6" s="90"/>
      <c r="S6" s="90"/>
      <c r="T6" s="90"/>
      <c r="U6" s="90"/>
      <c r="V6" s="90"/>
      <c r="W6" s="90"/>
      <c r="X6" s="90"/>
      <c r="Y6" s="90"/>
    </row>
    <row r="7" spans="1:25" ht="15" customHeight="1" x14ac:dyDescent="0.2">
      <c r="A7" s="354"/>
      <c r="B7" s="359"/>
      <c r="C7" s="364"/>
      <c r="D7" s="366" t="s">
        <v>436</v>
      </c>
      <c r="E7" s="367" t="s">
        <v>242</v>
      </c>
      <c r="F7" s="360"/>
      <c r="G7" s="354"/>
      <c r="H7" s="387" t="s">
        <v>447</v>
      </c>
      <c r="I7" s="91"/>
      <c r="J7" s="90"/>
      <c r="K7" s="90"/>
      <c r="L7" s="90"/>
      <c r="M7" s="90"/>
      <c r="N7" s="90"/>
      <c r="O7" s="90"/>
      <c r="P7" s="90"/>
      <c r="Q7" s="90"/>
      <c r="R7" s="90"/>
      <c r="S7" s="90"/>
      <c r="T7" s="90"/>
      <c r="U7" s="90"/>
      <c r="V7" s="90"/>
      <c r="W7" s="90"/>
      <c r="X7" s="90"/>
      <c r="Y7" s="90"/>
    </row>
    <row r="8" spans="1:25" ht="15" customHeight="1" x14ac:dyDescent="0.2">
      <c r="A8" s="354"/>
      <c r="B8" s="359"/>
      <c r="C8" s="364"/>
      <c r="D8" s="366" t="s">
        <v>445</v>
      </c>
      <c r="E8" s="368" t="str">
        <f ca="1" xml:space="preserve"> YEAR(TODAY()) + 1 &amp; " - " &amp; ((YEAR(TODAY()) + 2) - 2000) &amp; " SY"</f>
        <v>2021 - 22 SY</v>
      </c>
      <c r="F8" s="360"/>
      <c r="G8" s="354"/>
      <c r="H8" s="369"/>
      <c r="I8" s="91"/>
      <c r="J8" s="90"/>
      <c r="K8" s="90"/>
      <c r="L8" s="90"/>
      <c r="M8" s="90"/>
      <c r="N8" s="90"/>
      <c r="O8" s="90"/>
      <c r="P8" s="90"/>
      <c r="Q8" s="90"/>
      <c r="R8" s="90"/>
      <c r="S8" s="90"/>
      <c r="T8" s="90"/>
      <c r="U8" s="90"/>
      <c r="V8" s="90"/>
      <c r="W8" s="90"/>
      <c r="X8" s="90"/>
      <c r="Y8" s="90"/>
    </row>
    <row r="9" spans="1:25" ht="15" customHeight="1" x14ac:dyDescent="0.2">
      <c r="A9" s="354"/>
      <c r="B9" s="359"/>
      <c r="C9" s="370"/>
      <c r="D9" s="371"/>
      <c r="E9" s="372"/>
      <c r="F9" s="360"/>
      <c r="G9" s="354"/>
      <c r="I9" s="91"/>
      <c r="J9" s="91"/>
      <c r="K9" s="91"/>
      <c r="L9" s="91"/>
      <c r="M9" s="91"/>
      <c r="N9" s="91"/>
      <c r="O9" s="90"/>
      <c r="P9" s="90"/>
      <c r="Q9" s="90"/>
      <c r="R9" s="90"/>
      <c r="S9" s="90"/>
      <c r="T9" s="90"/>
      <c r="U9" s="90"/>
      <c r="V9" s="90"/>
      <c r="W9" s="90"/>
      <c r="X9" s="90"/>
      <c r="Y9" s="90"/>
    </row>
    <row r="10" spans="1:25" ht="45.75" customHeight="1" x14ac:dyDescent="0.2">
      <c r="A10" s="354"/>
      <c r="B10" s="359"/>
      <c r="C10" s="373"/>
      <c r="D10" s="388" t="s">
        <v>59</v>
      </c>
      <c r="E10" s="374" t="s">
        <v>448</v>
      </c>
      <c r="F10" s="360"/>
      <c r="G10" s="354"/>
      <c r="I10" s="91"/>
      <c r="J10" s="91"/>
      <c r="K10" s="91"/>
      <c r="L10" s="91"/>
      <c r="M10" s="91"/>
      <c r="N10" s="91"/>
      <c r="O10" s="90"/>
      <c r="P10" s="90"/>
      <c r="Q10" s="90"/>
      <c r="R10" s="90"/>
      <c r="S10" s="90"/>
      <c r="T10" s="90"/>
      <c r="U10" s="90"/>
      <c r="V10" s="90"/>
      <c r="W10" s="90"/>
      <c r="X10" s="90"/>
      <c r="Y10" s="90"/>
    </row>
    <row r="11" spans="1:25" s="92" customFormat="1" ht="45.75" customHeight="1" x14ac:dyDescent="0.25">
      <c r="A11" s="375"/>
      <c r="B11" s="376"/>
      <c r="C11" s="377"/>
      <c r="D11" s="280" t="s">
        <v>60</v>
      </c>
      <c r="E11" s="374" t="s">
        <v>527</v>
      </c>
      <c r="F11" s="378"/>
      <c r="G11" s="375"/>
      <c r="H11" s="379"/>
      <c r="I11" s="93"/>
      <c r="J11" s="94"/>
      <c r="K11" s="94"/>
      <c r="L11" s="94"/>
      <c r="M11" s="94"/>
      <c r="N11" s="94"/>
      <c r="O11" s="94"/>
      <c r="P11" s="94"/>
      <c r="Q11" s="94"/>
      <c r="R11" s="94"/>
      <c r="S11" s="94"/>
      <c r="T11" s="94"/>
      <c r="U11" s="94"/>
      <c r="V11" s="94"/>
      <c r="W11" s="94"/>
      <c r="X11" s="94"/>
      <c r="Y11" s="94"/>
    </row>
    <row r="12" spans="1:25" s="92" customFormat="1" ht="75.75" customHeight="1" x14ac:dyDescent="0.25">
      <c r="A12" s="375"/>
      <c r="B12" s="376"/>
      <c r="C12" s="380"/>
      <c r="D12" s="280" t="s">
        <v>61</v>
      </c>
      <c r="E12" s="374" t="s">
        <v>528</v>
      </c>
      <c r="F12" s="378"/>
      <c r="G12" s="375"/>
      <c r="H12" s="379"/>
      <c r="I12" s="441"/>
      <c r="J12" s="441"/>
      <c r="K12" s="441"/>
      <c r="L12" s="441"/>
      <c r="M12" s="441"/>
      <c r="N12" s="441"/>
      <c r="O12" s="441"/>
      <c r="P12" s="441"/>
      <c r="Q12" s="441"/>
      <c r="R12" s="441"/>
      <c r="S12" s="441"/>
      <c r="T12" s="441"/>
      <c r="U12" s="94"/>
      <c r="V12" s="94"/>
      <c r="W12" s="94"/>
      <c r="X12" s="94"/>
      <c r="Y12" s="94"/>
    </row>
    <row r="13" spans="1:25" ht="61.5" customHeight="1" x14ac:dyDescent="0.2">
      <c r="A13" s="354"/>
      <c r="B13" s="359"/>
      <c r="C13" s="365"/>
      <c r="D13" s="280" t="s">
        <v>421</v>
      </c>
      <c r="E13" s="374" t="s">
        <v>529</v>
      </c>
      <c r="F13" s="360"/>
      <c r="G13" s="354"/>
      <c r="I13" s="441"/>
      <c r="J13" s="441"/>
      <c r="K13" s="441"/>
      <c r="L13" s="441"/>
      <c r="M13" s="441"/>
      <c r="N13" s="441"/>
      <c r="O13" s="441"/>
      <c r="P13" s="441"/>
      <c r="Q13" s="441"/>
      <c r="R13" s="441"/>
      <c r="S13" s="441"/>
      <c r="T13" s="441"/>
      <c r="U13" s="90"/>
      <c r="V13" s="90"/>
      <c r="W13" s="90"/>
      <c r="X13" s="90"/>
      <c r="Y13" s="90"/>
    </row>
    <row r="14" spans="1:25" ht="15" customHeight="1" x14ac:dyDescent="0.2">
      <c r="A14" s="354"/>
      <c r="B14" s="359"/>
      <c r="C14" s="365"/>
      <c r="D14" s="11"/>
      <c r="E14" s="381"/>
      <c r="F14" s="360"/>
      <c r="G14" s="354"/>
      <c r="I14" s="90"/>
      <c r="J14" s="90"/>
      <c r="K14" s="90"/>
      <c r="L14" s="90"/>
      <c r="M14" s="90"/>
      <c r="N14" s="90"/>
      <c r="O14" s="90"/>
      <c r="P14" s="90"/>
      <c r="Q14" s="90"/>
      <c r="R14" s="90"/>
      <c r="S14" s="90"/>
      <c r="T14" s="90"/>
      <c r="U14" s="90"/>
      <c r="V14" s="90"/>
      <c r="W14" s="90"/>
      <c r="X14" s="90"/>
      <c r="Y14" s="90"/>
    </row>
    <row r="15" spans="1:25" ht="15" customHeight="1" thickBot="1" x14ac:dyDescent="0.25">
      <c r="A15" s="354"/>
      <c r="B15" s="382"/>
      <c r="C15" s="383"/>
      <c r="D15" s="383"/>
      <c r="E15" s="384"/>
      <c r="F15" s="385" t="s">
        <v>446</v>
      </c>
      <c r="G15" s="386"/>
      <c r="P15" s="90"/>
      <c r="Q15" s="90"/>
      <c r="R15" s="90"/>
      <c r="S15" s="90"/>
      <c r="T15" s="90"/>
      <c r="U15" s="90"/>
      <c r="V15" s="90"/>
      <c r="W15" s="90"/>
      <c r="X15" s="90"/>
      <c r="Y15" s="90"/>
    </row>
    <row r="16" spans="1:25" ht="15" customHeight="1" x14ac:dyDescent="0.2">
      <c r="A16" s="354"/>
      <c r="B16" s="354"/>
      <c r="C16" s="354"/>
      <c r="D16" s="354"/>
      <c r="E16" s="354"/>
      <c r="F16" s="354"/>
      <c r="G16" s="354"/>
      <c r="P16" s="90"/>
      <c r="Q16" s="90"/>
      <c r="R16" s="90"/>
      <c r="S16" s="90"/>
      <c r="T16" s="90"/>
      <c r="U16" s="90"/>
      <c r="V16" s="90"/>
      <c r="W16" s="90"/>
      <c r="X16" s="90"/>
      <c r="Y16" s="90"/>
    </row>
    <row r="17" spans="1:25" x14ac:dyDescent="0.2">
      <c r="A17" s="354"/>
      <c r="P17" s="90"/>
      <c r="Q17" s="90"/>
      <c r="R17" s="90"/>
      <c r="S17" s="90"/>
      <c r="T17" s="90"/>
      <c r="U17" s="90"/>
      <c r="V17" s="90"/>
      <c r="W17" s="90"/>
      <c r="X17" s="90"/>
      <c r="Y17" s="90"/>
    </row>
    <row r="18" spans="1:25" x14ac:dyDescent="0.2">
      <c r="P18" s="90"/>
      <c r="Q18" s="90"/>
      <c r="R18" s="90"/>
      <c r="S18" s="90"/>
      <c r="T18" s="90"/>
      <c r="U18" s="90"/>
      <c r="V18" s="90"/>
      <c r="W18" s="90"/>
      <c r="X18" s="90"/>
      <c r="Y18" s="90"/>
    </row>
    <row r="19" spans="1:25" x14ac:dyDescent="0.2">
      <c r="I19" s="90"/>
      <c r="J19" s="90"/>
      <c r="K19" s="90"/>
      <c r="L19" s="90"/>
      <c r="M19" s="90"/>
      <c r="N19" s="90"/>
      <c r="O19" s="90"/>
      <c r="P19" s="90"/>
      <c r="Q19" s="90"/>
      <c r="R19" s="90"/>
      <c r="S19" s="90"/>
      <c r="T19" s="90"/>
      <c r="U19" s="90"/>
      <c r="V19" s="90"/>
      <c r="W19" s="90"/>
      <c r="X19" s="90"/>
      <c r="Y19" s="90"/>
    </row>
    <row r="20" spans="1:25" x14ac:dyDescent="0.2">
      <c r="I20" s="90"/>
      <c r="J20" s="90"/>
      <c r="K20" s="90"/>
      <c r="L20" s="90"/>
      <c r="M20" s="90"/>
      <c r="N20" s="90"/>
      <c r="O20" s="90"/>
      <c r="P20" s="90"/>
      <c r="Q20" s="90"/>
      <c r="R20" s="90"/>
      <c r="S20" s="90"/>
      <c r="T20" s="90"/>
      <c r="U20" s="90"/>
      <c r="V20" s="90"/>
      <c r="W20" s="90"/>
      <c r="X20" s="90"/>
      <c r="Y20" s="90"/>
    </row>
    <row r="21" spans="1:25" x14ac:dyDescent="0.2">
      <c r="I21" s="90"/>
      <c r="J21" s="90"/>
      <c r="K21" s="90"/>
      <c r="L21" s="90"/>
      <c r="M21" s="90"/>
      <c r="N21" s="90"/>
      <c r="O21" s="90"/>
      <c r="P21" s="90"/>
      <c r="Q21" s="90"/>
      <c r="R21" s="90"/>
      <c r="S21" s="90"/>
      <c r="T21" s="90"/>
      <c r="U21" s="90"/>
      <c r="V21" s="90"/>
      <c r="W21" s="90"/>
      <c r="X21" s="90"/>
      <c r="Y21" s="90"/>
    </row>
    <row r="22" spans="1:25" x14ac:dyDescent="0.2">
      <c r="I22" s="90"/>
      <c r="J22" s="90"/>
      <c r="K22" s="90"/>
      <c r="L22" s="90"/>
      <c r="M22" s="90"/>
      <c r="N22" s="90"/>
      <c r="O22" s="90"/>
      <c r="P22" s="90"/>
      <c r="Q22" s="90"/>
      <c r="R22" s="90"/>
      <c r="S22" s="90"/>
      <c r="T22" s="90"/>
      <c r="U22" s="90"/>
      <c r="V22" s="90"/>
      <c r="W22" s="90"/>
      <c r="X22" s="90"/>
      <c r="Y22" s="90"/>
    </row>
    <row r="23" spans="1:25" x14ac:dyDescent="0.2">
      <c r="I23" s="90"/>
      <c r="J23" s="90"/>
      <c r="K23" s="90"/>
      <c r="L23" s="90"/>
      <c r="M23" s="90"/>
      <c r="N23" s="90"/>
      <c r="O23" s="90"/>
      <c r="P23" s="90"/>
      <c r="Q23" s="90"/>
      <c r="R23" s="90"/>
      <c r="S23" s="90"/>
      <c r="T23" s="90"/>
      <c r="U23" s="90"/>
      <c r="V23" s="90"/>
      <c r="W23" s="90"/>
      <c r="X23" s="90"/>
      <c r="Y23" s="90"/>
    </row>
    <row r="24" spans="1:25" x14ac:dyDescent="0.2">
      <c r="I24" s="90"/>
      <c r="J24" s="90"/>
      <c r="K24" s="90"/>
      <c r="L24" s="90"/>
      <c r="M24" s="90"/>
      <c r="N24" s="90"/>
      <c r="O24" s="90"/>
      <c r="P24" s="90"/>
      <c r="Q24" s="90"/>
      <c r="R24" s="90"/>
      <c r="S24" s="90"/>
      <c r="T24" s="90"/>
      <c r="U24" s="90"/>
      <c r="V24" s="90"/>
      <c r="W24" s="90"/>
      <c r="X24" s="90"/>
      <c r="Y24" s="90"/>
    </row>
    <row r="25" spans="1:25" x14ac:dyDescent="0.2">
      <c r="I25" s="90"/>
      <c r="J25" s="90"/>
      <c r="K25" s="95"/>
      <c r="L25" s="90"/>
      <c r="M25" s="90"/>
      <c r="N25" s="90"/>
      <c r="O25" s="90"/>
      <c r="P25" s="90"/>
      <c r="Q25" s="90"/>
      <c r="R25" s="90"/>
      <c r="S25" s="90"/>
      <c r="T25" s="90"/>
      <c r="U25" s="90"/>
      <c r="V25" s="90"/>
      <c r="W25" s="90"/>
      <c r="X25" s="90"/>
      <c r="Y25" s="90"/>
    </row>
    <row r="26" spans="1:25" x14ac:dyDescent="0.2">
      <c r="I26" s="90"/>
      <c r="J26" s="90"/>
      <c r="K26" s="90"/>
      <c r="L26" s="90"/>
      <c r="M26" s="90"/>
      <c r="N26" s="90"/>
      <c r="O26" s="90"/>
      <c r="P26" s="90"/>
      <c r="Q26" s="90"/>
      <c r="R26" s="90"/>
      <c r="S26" s="90"/>
      <c r="T26" s="90"/>
      <c r="U26" s="90"/>
      <c r="V26" s="90"/>
      <c r="W26" s="90"/>
      <c r="X26" s="90"/>
      <c r="Y26" s="90"/>
    </row>
    <row r="27" spans="1:25" x14ac:dyDescent="0.2">
      <c r="I27" s="90"/>
      <c r="J27" s="90"/>
      <c r="K27" s="90"/>
      <c r="L27" s="90"/>
      <c r="M27" s="90"/>
      <c r="N27" s="90"/>
      <c r="O27" s="90"/>
      <c r="P27" s="90"/>
      <c r="Q27" s="90"/>
      <c r="R27" s="90"/>
      <c r="S27" s="90"/>
      <c r="T27" s="90"/>
      <c r="U27" s="90"/>
      <c r="V27" s="90"/>
      <c r="W27" s="90"/>
      <c r="X27" s="90"/>
      <c r="Y27" s="90"/>
    </row>
    <row r="28" spans="1:25" x14ac:dyDescent="0.2">
      <c r="I28" s="90"/>
      <c r="J28" s="90"/>
      <c r="K28" s="90"/>
      <c r="L28" s="90"/>
      <c r="M28" s="90"/>
      <c r="N28" s="90"/>
      <c r="O28" s="90"/>
      <c r="P28" s="90"/>
      <c r="Q28" s="90"/>
      <c r="R28" s="90"/>
      <c r="S28" s="90"/>
      <c r="T28" s="90"/>
      <c r="U28" s="90"/>
      <c r="V28" s="90"/>
      <c r="W28" s="90"/>
      <c r="X28" s="90"/>
      <c r="Y28" s="90"/>
    </row>
    <row r="29" spans="1:25" x14ac:dyDescent="0.2">
      <c r="I29" s="90"/>
      <c r="J29" s="90"/>
      <c r="K29" s="90"/>
      <c r="L29" s="90"/>
      <c r="M29" s="90"/>
      <c r="N29" s="90"/>
      <c r="O29" s="90"/>
      <c r="P29" s="90"/>
      <c r="Q29" s="90"/>
      <c r="R29" s="90"/>
      <c r="S29" s="90"/>
      <c r="T29" s="90"/>
      <c r="U29" s="90"/>
      <c r="V29" s="90"/>
      <c r="W29" s="90"/>
      <c r="X29" s="90"/>
      <c r="Y29" s="90"/>
    </row>
    <row r="30" spans="1:25" x14ac:dyDescent="0.2">
      <c r="I30" s="90"/>
      <c r="J30" s="90"/>
      <c r="K30" s="90"/>
      <c r="L30" s="90"/>
      <c r="M30" s="90"/>
      <c r="N30" s="90"/>
      <c r="O30" s="90"/>
      <c r="P30" s="90"/>
      <c r="Q30" s="90"/>
      <c r="R30" s="90"/>
      <c r="S30" s="90"/>
      <c r="T30" s="90"/>
      <c r="U30" s="90"/>
      <c r="V30" s="90"/>
      <c r="W30" s="90"/>
      <c r="X30" s="90"/>
      <c r="Y30" s="90"/>
    </row>
    <row r="31" spans="1:25" x14ac:dyDescent="0.2">
      <c r="I31" s="90"/>
      <c r="J31" s="90"/>
      <c r="K31" s="90"/>
      <c r="L31" s="90"/>
      <c r="M31" s="90"/>
      <c r="N31" s="90"/>
      <c r="O31" s="90"/>
      <c r="P31" s="90"/>
      <c r="Q31" s="90"/>
      <c r="R31" s="90"/>
      <c r="S31" s="90"/>
      <c r="T31" s="90"/>
      <c r="U31" s="90"/>
      <c r="V31" s="90"/>
      <c r="W31" s="90"/>
      <c r="X31" s="90"/>
      <c r="Y31" s="90"/>
    </row>
    <row r="32" spans="1:25" x14ac:dyDescent="0.2">
      <c r="I32" s="90"/>
      <c r="J32" s="90"/>
      <c r="K32" s="90"/>
      <c r="L32" s="90"/>
      <c r="M32" s="90"/>
      <c r="N32" s="90"/>
      <c r="O32" s="90"/>
      <c r="P32" s="90"/>
      <c r="Q32" s="90"/>
      <c r="R32" s="90"/>
      <c r="S32" s="90"/>
      <c r="T32" s="90"/>
      <c r="U32" s="90"/>
      <c r="V32" s="90"/>
      <c r="W32" s="90"/>
      <c r="X32" s="90"/>
      <c r="Y32" s="90"/>
    </row>
    <row r="33" spans="9:25" x14ac:dyDescent="0.2">
      <c r="I33" s="90"/>
      <c r="J33" s="90"/>
      <c r="K33" s="90"/>
      <c r="L33" s="90"/>
      <c r="M33" s="90"/>
      <c r="N33" s="90"/>
      <c r="O33" s="90"/>
      <c r="P33" s="90"/>
      <c r="Q33" s="90"/>
      <c r="R33" s="90"/>
      <c r="S33" s="90"/>
      <c r="T33" s="90"/>
      <c r="U33" s="90"/>
      <c r="V33" s="90"/>
      <c r="W33" s="90"/>
      <c r="X33" s="90"/>
      <c r="Y33" s="90"/>
    </row>
    <row r="34" spans="9:25" x14ac:dyDescent="0.2">
      <c r="I34" s="90"/>
      <c r="J34" s="90"/>
      <c r="K34" s="90"/>
      <c r="L34" s="90"/>
      <c r="M34" s="90"/>
      <c r="N34" s="90"/>
      <c r="O34" s="90"/>
      <c r="P34" s="90"/>
      <c r="Q34" s="90"/>
      <c r="R34" s="90"/>
      <c r="S34" s="90"/>
      <c r="T34" s="90"/>
      <c r="U34" s="90"/>
      <c r="V34" s="90"/>
      <c r="W34" s="90"/>
      <c r="X34" s="90"/>
      <c r="Y34" s="90"/>
    </row>
    <row r="35" spans="9:25" x14ac:dyDescent="0.2">
      <c r="I35" s="90"/>
      <c r="J35" s="90"/>
      <c r="K35" s="90"/>
      <c r="L35" s="90"/>
      <c r="M35" s="90"/>
      <c r="N35" s="90"/>
      <c r="O35" s="90"/>
      <c r="P35" s="90"/>
      <c r="Q35" s="90"/>
      <c r="R35" s="90"/>
      <c r="S35" s="90"/>
      <c r="T35" s="90"/>
      <c r="U35" s="90"/>
      <c r="V35" s="90"/>
      <c r="W35" s="90"/>
      <c r="X35" s="90"/>
      <c r="Y35" s="90"/>
    </row>
    <row r="36" spans="9:25" x14ac:dyDescent="0.2">
      <c r="I36" s="90"/>
      <c r="J36" s="90"/>
      <c r="K36" s="90"/>
      <c r="L36" s="90"/>
      <c r="M36" s="90"/>
      <c r="N36" s="90"/>
      <c r="O36" s="90"/>
      <c r="P36" s="90"/>
      <c r="Q36" s="90"/>
      <c r="R36" s="90"/>
      <c r="S36" s="90"/>
      <c r="T36" s="90"/>
      <c r="U36" s="90"/>
      <c r="V36" s="90"/>
      <c r="W36" s="90"/>
      <c r="X36" s="90"/>
      <c r="Y36" s="90"/>
    </row>
    <row r="37" spans="9:25" x14ac:dyDescent="0.2">
      <c r="I37" s="90"/>
      <c r="J37" s="90"/>
      <c r="K37" s="90"/>
      <c r="L37" s="90"/>
      <c r="M37" s="90"/>
      <c r="N37" s="90"/>
      <c r="O37" s="90"/>
      <c r="P37" s="90"/>
      <c r="Q37" s="90"/>
      <c r="R37" s="90"/>
      <c r="S37" s="90"/>
      <c r="T37" s="90"/>
      <c r="U37" s="90"/>
      <c r="V37" s="90"/>
      <c r="W37" s="90"/>
      <c r="X37" s="90"/>
      <c r="Y37" s="90"/>
    </row>
    <row r="38" spans="9:25" x14ac:dyDescent="0.2">
      <c r="I38" s="90"/>
      <c r="J38" s="90"/>
      <c r="K38" s="90"/>
      <c r="L38" s="90"/>
      <c r="M38" s="90"/>
      <c r="N38" s="90"/>
      <c r="O38" s="90"/>
      <c r="P38" s="90"/>
      <c r="Q38" s="90"/>
      <c r="R38" s="90"/>
      <c r="S38" s="90"/>
      <c r="T38" s="90"/>
      <c r="U38" s="90"/>
      <c r="V38" s="90"/>
      <c r="W38" s="90"/>
      <c r="X38" s="90"/>
      <c r="Y38" s="90"/>
    </row>
    <row r="39" spans="9:25" x14ac:dyDescent="0.2">
      <c r="I39" s="90"/>
      <c r="J39" s="90"/>
      <c r="K39" s="90"/>
      <c r="L39" s="90"/>
      <c r="M39" s="90"/>
      <c r="N39" s="90"/>
      <c r="O39" s="90"/>
      <c r="P39" s="90"/>
      <c r="Q39" s="90"/>
      <c r="R39" s="90"/>
      <c r="S39" s="90"/>
      <c r="T39" s="90"/>
      <c r="U39" s="90"/>
      <c r="V39" s="90"/>
      <c r="W39" s="90"/>
      <c r="X39" s="90"/>
      <c r="Y39" s="90"/>
    </row>
    <row r="40" spans="9:25" x14ac:dyDescent="0.2">
      <c r="I40" s="90"/>
      <c r="J40" s="90"/>
      <c r="K40" s="90"/>
      <c r="L40" s="90"/>
      <c r="M40" s="90"/>
      <c r="N40" s="90"/>
      <c r="O40" s="90"/>
      <c r="P40" s="90"/>
      <c r="Q40" s="90"/>
      <c r="R40" s="90"/>
      <c r="S40" s="90"/>
      <c r="T40" s="90"/>
      <c r="U40" s="90"/>
      <c r="V40" s="90"/>
      <c r="W40" s="90"/>
      <c r="X40" s="90"/>
      <c r="Y40" s="90"/>
    </row>
    <row r="41" spans="9:25" x14ac:dyDescent="0.2">
      <c r="I41" s="90"/>
      <c r="J41" s="90"/>
      <c r="K41" s="90"/>
      <c r="L41" s="90"/>
      <c r="M41" s="90"/>
      <c r="N41" s="90"/>
      <c r="O41" s="90"/>
      <c r="P41" s="90"/>
      <c r="Q41" s="90"/>
      <c r="R41" s="90"/>
      <c r="S41" s="90"/>
      <c r="T41" s="90"/>
      <c r="U41" s="90"/>
      <c r="V41" s="90"/>
      <c r="W41" s="90"/>
      <c r="X41" s="90"/>
      <c r="Y41" s="90"/>
    </row>
    <row r="42" spans="9:25" x14ac:dyDescent="0.2">
      <c r="I42" s="90"/>
      <c r="J42" s="90"/>
      <c r="K42" s="90"/>
      <c r="L42" s="90"/>
      <c r="M42" s="90"/>
      <c r="N42" s="90"/>
      <c r="O42" s="90"/>
      <c r="P42" s="90"/>
      <c r="Q42" s="90"/>
      <c r="R42" s="90"/>
      <c r="S42" s="90"/>
      <c r="T42" s="90"/>
      <c r="U42" s="90"/>
      <c r="V42" s="90"/>
      <c r="W42" s="90"/>
      <c r="X42" s="90"/>
      <c r="Y42" s="90"/>
    </row>
    <row r="43" spans="9:25" x14ac:dyDescent="0.2">
      <c r="I43" s="90"/>
      <c r="J43" s="90"/>
      <c r="K43" s="90"/>
      <c r="L43" s="90"/>
      <c r="M43" s="90"/>
      <c r="N43" s="90"/>
      <c r="O43" s="90"/>
      <c r="P43" s="90"/>
      <c r="Q43" s="90"/>
      <c r="R43" s="90"/>
      <c r="S43" s="90"/>
      <c r="T43" s="90"/>
      <c r="U43" s="90"/>
      <c r="V43" s="90"/>
      <c r="W43" s="90"/>
      <c r="X43" s="90"/>
      <c r="Y43" s="90"/>
    </row>
    <row r="44" spans="9:25" x14ac:dyDescent="0.2">
      <c r="I44" s="90"/>
      <c r="J44" s="90"/>
      <c r="K44" s="90"/>
      <c r="L44" s="90"/>
      <c r="M44" s="90"/>
      <c r="N44" s="90"/>
      <c r="O44" s="90"/>
      <c r="P44" s="90"/>
      <c r="Q44" s="90"/>
      <c r="R44" s="90"/>
      <c r="S44" s="90"/>
      <c r="T44" s="90"/>
      <c r="U44" s="90"/>
      <c r="V44" s="90"/>
      <c r="W44" s="90"/>
      <c r="X44" s="90"/>
      <c r="Y44" s="90"/>
    </row>
  </sheetData>
  <sheetProtection algorithmName="SHA-512" hashValue="IqwXmoZ95ehq8A8hpWyGBYCISCmil873y5Ko82BuP3EpA8hepXyr4UT0kcjHJaIZr7Kf1BFn77FZZ2m5VxDUbQ==" saltValue="VF92Ux1MXhMrrXVwVrr6iQ==" spinCount="100000" sheet="1" objects="1" scenarios="1" selectLockedCells="1"/>
  <mergeCells count="3">
    <mergeCell ref="C3:E3"/>
    <mergeCell ref="I12:T12"/>
    <mergeCell ref="I13:T13"/>
  </mergeCells>
  <dataValidations count="1">
    <dataValidation type="list" allowBlank="1" showInputMessage="1" sqref="E7:E8 E65542:E65543 E131078:E131079 E196614:E196615 E262150:E262151 E327686:E327687 E393222:E393223 E458758:E458759 E524294:E524295 E589830:E589831 E655366:E655367 E720902:E720903 E786438:E786439 E851974:E851975 E917510:E917511 E983046:E983047" xr:uid="{D853D794-6D2B-4DF8-9BF9-55EEA090997F}">
      <formula1>CorpList</formula1>
    </dataValidation>
  </dataValidations>
  <hyperlinks>
    <hyperlink ref="D10" location="'1. Instructions'!A1" display="1. Instructions" xr:uid="{D5F6FC54-8A80-4429-8664-98E9EEAAA384}"/>
    <hyperlink ref="D11" location="'2. Enrollment Projections'!A1" display="2. Enrollment Projection" xr:uid="{34C5F63B-F66A-4BF6-8D72-F8D67E04EEBB}"/>
    <hyperlink ref="D12" location="'3. Staffing Plan'!A1" display="3. Staffing Plan" xr:uid="{B3D718BF-ADDE-4EBE-A053-5880AEA0A6A1}"/>
    <hyperlink ref="D13" location="'5. 5-Year Budget'!A1" display="4. 5-Year Budget" xr:uid="{A8A4730C-59A3-46D0-97D7-C172504EC12B}"/>
  </hyperlinks>
  <pageMargins left="0.7" right="0.7" top="0.75" bottom="0.75" header="0.3" footer="0.3"/>
  <pageSetup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B1:S67"/>
  <sheetViews>
    <sheetView tabSelected="1" topLeftCell="A15" workbookViewId="0">
      <selection activeCell="E39" sqref="E39"/>
    </sheetView>
  </sheetViews>
  <sheetFormatPr defaultColWidth="9.140625" defaultRowHeight="12.75" x14ac:dyDescent="0.2"/>
  <cols>
    <col min="1" max="3" width="3" style="45" customWidth="1"/>
    <col min="4" max="4" width="19.7109375" style="45" customWidth="1"/>
    <col min="5" max="10" width="14.28515625" style="45" customWidth="1"/>
    <col min="11" max="12" width="3" style="45" customWidth="1"/>
    <col min="13" max="19" width="9.140625" style="45" customWidth="1"/>
    <col min="20" max="16384" width="9.140625" style="45"/>
  </cols>
  <sheetData>
    <row r="1" spans="2:12" ht="15" customHeight="1" thickBot="1" x14ac:dyDescent="0.25"/>
    <row r="2" spans="2:12" ht="15" customHeight="1" x14ac:dyDescent="0.2">
      <c r="B2" s="46"/>
      <c r="C2" s="47"/>
      <c r="D2" s="47"/>
      <c r="E2" s="47"/>
      <c r="F2" s="47"/>
      <c r="G2" s="47"/>
      <c r="H2" s="47"/>
      <c r="I2" s="47"/>
      <c r="J2" s="47"/>
      <c r="K2" s="47"/>
      <c r="L2" s="48"/>
    </row>
    <row r="3" spans="2:12" ht="18.75" x14ac:dyDescent="0.2">
      <c r="B3" s="49"/>
      <c r="C3" s="50"/>
      <c r="D3" s="442" t="s">
        <v>449</v>
      </c>
      <c r="E3" s="442"/>
      <c r="F3" s="443"/>
      <c r="G3" s="443"/>
      <c r="H3" s="443"/>
      <c r="I3" s="443"/>
      <c r="J3" s="443"/>
      <c r="K3" s="51"/>
      <c r="L3" s="52"/>
    </row>
    <row r="4" spans="2:12" ht="15" customHeight="1" x14ac:dyDescent="0.2">
      <c r="B4" s="49"/>
      <c r="C4" s="50"/>
      <c r="D4" s="444" t="s">
        <v>423</v>
      </c>
      <c r="E4" s="444"/>
      <c r="F4" s="443"/>
      <c r="G4" s="443"/>
      <c r="H4" s="443"/>
      <c r="I4" s="443"/>
      <c r="J4" s="443"/>
      <c r="K4" s="51"/>
      <c r="L4" s="52"/>
    </row>
    <row r="5" spans="2:12" ht="15" customHeight="1" x14ac:dyDescent="0.2">
      <c r="B5" s="49"/>
      <c r="C5" s="50"/>
      <c r="D5" s="50"/>
      <c r="E5" s="50"/>
      <c r="F5" s="50"/>
      <c r="G5" s="50"/>
      <c r="H5" s="50"/>
      <c r="I5" s="50"/>
      <c r="J5" s="50"/>
      <c r="K5" s="50"/>
      <c r="L5" s="52"/>
    </row>
    <row r="6" spans="2:12" ht="15" customHeight="1" x14ac:dyDescent="0.2">
      <c r="B6" s="49"/>
      <c r="C6" s="50"/>
      <c r="D6" s="53" t="s">
        <v>62</v>
      </c>
      <c r="E6" s="53"/>
      <c r="F6" s="54"/>
      <c r="G6" s="55" t="str">
        <f>IF(ISBLANK('1. Instructions'!E6),"Please enter School Name on Tab 1.",'1. Instructions'!E6)</f>
        <v>Higher Institute of Arts &amp; Technology</v>
      </c>
      <c r="H6" s="56"/>
      <c r="I6" s="57"/>
      <c r="J6" s="351"/>
      <c r="K6" s="56"/>
      <c r="L6" s="52"/>
    </row>
    <row r="7" spans="2:12" ht="15" customHeight="1" x14ac:dyDescent="0.2">
      <c r="B7" s="49"/>
      <c r="C7" s="50"/>
      <c r="D7" s="53" t="s">
        <v>436</v>
      </c>
      <c r="E7" s="53"/>
      <c r="F7" s="58"/>
      <c r="G7" s="305" t="str">
        <f>IF(ISBLANK('1. Instructions'!E7),"Please enter Renewal Year on Tab 1.",'1. Instructions'!E7)</f>
        <v>Merrillville Community School</v>
      </c>
      <c r="H7" s="56"/>
      <c r="I7" s="57"/>
      <c r="J7" s="351"/>
      <c r="K7" s="56"/>
      <c r="L7" s="52"/>
    </row>
    <row r="8" spans="2:12" ht="15" customHeight="1" x14ac:dyDescent="0.2">
      <c r="B8" s="49"/>
      <c r="C8" s="50"/>
      <c r="D8" s="53" t="s">
        <v>422</v>
      </c>
      <c r="E8" s="53"/>
      <c r="F8" s="58"/>
      <c r="G8" s="305" t="str">
        <f ca="1">'1. Instructions'!E8</f>
        <v>2021 - 22 SY</v>
      </c>
      <c r="H8" s="56"/>
      <c r="I8" s="57"/>
      <c r="J8" s="351"/>
      <c r="K8" s="56"/>
      <c r="L8" s="52"/>
    </row>
    <row r="9" spans="2:12" ht="15" customHeight="1" x14ac:dyDescent="0.2">
      <c r="B9" s="49"/>
      <c r="C9" s="50"/>
      <c r="D9" s="53"/>
      <c r="E9" s="53"/>
      <c r="F9" s="58"/>
      <c r="G9" s="305"/>
      <c r="H9" s="56"/>
      <c r="I9" s="57"/>
      <c r="J9" s="351"/>
      <c r="K9" s="56"/>
      <c r="L9" s="52"/>
    </row>
    <row r="10" spans="2:12" ht="15" customHeight="1" thickBot="1" x14ac:dyDescent="0.25">
      <c r="B10" s="49"/>
      <c r="C10" s="50"/>
      <c r="D10" s="465" t="s">
        <v>462</v>
      </c>
      <c r="E10" s="466"/>
      <c r="F10" s="466"/>
      <c r="G10" s="466"/>
      <c r="H10" s="466"/>
      <c r="I10" s="466"/>
      <c r="J10" s="466"/>
      <c r="K10" s="56"/>
      <c r="L10" s="52"/>
    </row>
    <row r="11" spans="2:12" ht="15" customHeight="1" x14ac:dyDescent="0.2">
      <c r="B11" s="49"/>
      <c r="C11" s="50"/>
      <c r="D11" s="455" t="s">
        <v>530</v>
      </c>
      <c r="E11" s="456"/>
      <c r="F11" s="457"/>
      <c r="G11" s="457"/>
      <c r="H11" s="457"/>
      <c r="I11" s="457"/>
      <c r="J11" s="458"/>
      <c r="K11" s="56"/>
      <c r="L11" s="52"/>
    </row>
    <row r="12" spans="2:12" ht="15" customHeight="1" x14ac:dyDescent="0.2">
      <c r="B12" s="49"/>
      <c r="C12" s="50"/>
      <c r="D12" s="459"/>
      <c r="E12" s="460"/>
      <c r="F12" s="460"/>
      <c r="G12" s="460"/>
      <c r="H12" s="460"/>
      <c r="I12" s="460"/>
      <c r="J12" s="461"/>
      <c r="K12" s="56"/>
      <c r="L12" s="52"/>
    </row>
    <row r="13" spans="2:12" ht="15" customHeight="1" x14ac:dyDescent="0.2">
      <c r="B13" s="49"/>
      <c r="C13" s="50"/>
      <c r="D13" s="459"/>
      <c r="E13" s="460"/>
      <c r="F13" s="460"/>
      <c r="G13" s="460"/>
      <c r="H13" s="460"/>
      <c r="I13" s="460"/>
      <c r="J13" s="461"/>
      <c r="K13" s="56"/>
      <c r="L13" s="52"/>
    </row>
    <row r="14" spans="2:12" ht="15" customHeight="1" x14ac:dyDescent="0.2">
      <c r="B14" s="49"/>
      <c r="C14" s="50"/>
      <c r="D14" s="459"/>
      <c r="E14" s="460"/>
      <c r="F14" s="460"/>
      <c r="G14" s="460"/>
      <c r="H14" s="460"/>
      <c r="I14" s="460"/>
      <c r="J14" s="461"/>
      <c r="K14" s="56"/>
      <c r="L14" s="52"/>
    </row>
    <row r="15" spans="2:12" ht="15" customHeight="1" x14ac:dyDescent="0.2">
      <c r="B15" s="49"/>
      <c r="C15" s="50"/>
      <c r="D15" s="459"/>
      <c r="E15" s="460"/>
      <c r="F15" s="460"/>
      <c r="G15" s="460"/>
      <c r="H15" s="460"/>
      <c r="I15" s="460"/>
      <c r="J15" s="461"/>
      <c r="K15" s="56"/>
      <c r="L15" s="52"/>
    </row>
    <row r="16" spans="2:12" ht="15" customHeight="1" x14ac:dyDescent="0.2">
      <c r="B16" s="49"/>
      <c r="C16" s="50"/>
      <c r="D16" s="459"/>
      <c r="E16" s="460"/>
      <c r="F16" s="460"/>
      <c r="G16" s="460"/>
      <c r="H16" s="460"/>
      <c r="I16" s="460"/>
      <c r="J16" s="461"/>
      <c r="K16" s="56"/>
      <c r="L16" s="52"/>
    </row>
    <row r="17" spans="2:12" ht="15" customHeight="1" thickBot="1" x14ac:dyDescent="0.25">
      <c r="B17" s="49"/>
      <c r="C17" s="50"/>
      <c r="D17" s="462"/>
      <c r="E17" s="463"/>
      <c r="F17" s="463"/>
      <c r="G17" s="463"/>
      <c r="H17" s="463"/>
      <c r="I17" s="463"/>
      <c r="J17" s="464"/>
      <c r="K17" s="56"/>
      <c r="L17" s="52"/>
    </row>
    <row r="18" spans="2:12" ht="15" customHeight="1" x14ac:dyDescent="0.2">
      <c r="B18" s="49"/>
      <c r="C18" s="50"/>
      <c r="D18" s="12"/>
      <c r="E18" s="12"/>
      <c r="F18" s="12"/>
      <c r="G18" s="12"/>
      <c r="H18" s="12"/>
      <c r="I18" s="12"/>
      <c r="J18" s="12"/>
      <c r="K18" s="12"/>
      <c r="L18" s="52"/>
    </row>
    <row r="19" spans="2:12" ht="15" customHeight="1" x14ac:dyDescent="0.2">
      <c r="B19" s="49"/>
      <c r="C19" s="59"/>
      <c r="D19" s="60" t="s">
        <v>83</v>
      </c>
      <c r="E19" s="60" t="s">
        <v>450</v>
      </c>
      <c r="F19" s="60" t="s">
        <v>451</v>
      </c>
      <c r="G19" s="60" t="s">
        <v>452</v>
      </c>
      <c r="H19" s="60" t="s">
        <v>453</v>
      </c>
      <c r="I19" s="60" t="s">
        <v>454</v>
      </c>
      <c r="J19" s="61" t="s">
        <v>455</v>
      </c>
      <c r="K19" s="62"/>
      <c r="L19" s="52"/>
    </row>
    <row r="20" spans="2:12" ht="15" customHeight="1" x14ac:dyDescent="0.2">
      <c r="B20" s="49"/>
      <c r="C20" s="63"/>
      <c r="D20" s="64"/>
      <c r="E20" s="389" t="str">
        <f ca="1" xml:space="preserve"> YEAR(TODAY()) &amp; " - " &amp; ((YEAR(TODAY()) + 1) - 2000) &amp; " SY"</f>
        <v>2020 - 21 SY</v>
      </c>
      <c r="F20" s="389" t="str">
        <f ca="1" xml:space="preserve"> YEAR(TODAY()) + 1 &amp; " - " &amp; ((YEAR(TODAY()) + 2) - 2000) &amp; " SY"</f>
        <v>2021 - 22 SY</v>
      </c>
      <c r="G20" s="389" t="str">
        <f ca="1" xml:space="preserve"> YEAR(TODAY()) + 2 &amp; " - " &amp; ((YEAR(TODAY()) + 3) - 2000) &amp; " SY"</f>
        <v>2022 - 23 SY</v>
      </c>
      <c r="H20" s="389" t="str">
        <f ca="1" xml:space="preserve"> YEAR(TODAY()) + 3 &amp; " - " &amp; ((YEAR(TODAY()) + 4) - 2000) &amp; " SY"</f>
        <v>2023 - 24 SY</v>
      </c>
      <c r="I20" s="389" t="str">
        <f ca="1" xml:space="preserve"> YEAR(TODAY()) + 4 &amp; " - " &amp; ((YEAR(TODAY()) + 5) - 2000) &amp; " SY"</f>
        <v>2024 - 25 SY</v>
      </c>
      <c r="J20" s="389" t="str">
        <f ca="1" xml:space="preserve"> YEAR(TODAY()) + 5 &amp; " - " &amp; ((YEAR(TODAY()) + 6) - 2000) &amp; " SY"</f>
        <v>2025 - 26 SY</v>
      </c>
      <c r="K20" s="65"/>
      <c r="L20" s="52"/>
    </row>
    <row r="21" spans="2:12" ht="15" customHeight="1" x14ac:dyDescent="0.2">
      <c r="B21" s="49"/>
      <c r="C21" s="63"/>
      <c r="D21" s="64"/>
      <c r="E21" s="64"/>
      <c r="F21" s="64"/>
      <c r="G21" s="64"/>
      <c r="H21" s="64"/>
      <c r="I21" s="64"/>
      <c r="J21" s="390"/>
      <c r="K21" s="65"/>
      <c r="L21" s="52"/>
    </row>
    <row r="22" spans="2:12" ht="15" customHeight="1" x14ac:dyDescent="0.2">
      <c r="B22" s="49"/>
      <c r="C22" s="63"/>
      <c r="D22" s="66" t="s">
        <v>63</v>
      </c>
      <c r="E22" s="43">
        <v>17</v>
      </c>
      <c r="F22" s="43">
        <v>18</v>
      </c>
      <c r="G22" s="43">
        <v>19</v>
      </c>
      <c r="H22" s="43">
        <v>20</v>
      </c>
      <c r="I22" s="43">
        <v>21</v>
      </c>
      <c r="J22" s="43">
        <v>22</v>
      </c>
      <c r="K22" s="67"/>
      <c r="L22" s="52"/>
    </row>
    <row r="23" spans="2:12" ht="15" customHeight="1" x14ac:dyDescent="0.2">
      <c r="B23" s="49"/>
      <c r="C23" s="63"/>
      <c r="D23" s="66" t="s">
        <v>64</v>
      </c>
      <c r="E23" s="43">
        <v>25</v>
      </c>
      <c r="F23" s="43">
        <v>27</v>
      </c>
      <c r="G23" s="43">
        <v>28</v>
      </c>
      <c r="H23" s="43">
        <v>29</v>
      </c>
      <c r="I23" s="43">
        <v>30</v>
      </c>
      <c r="J23" s="43">
        <v>32</v>
      </c>
      <c r="K23" s="67"/>
      <c r="L23" s="52"/>
    </row>
    <row r="24" spans="2:12" ht="15" customHeight="1" x14ac:dyDescent="0.2">
      <c r="B24" s="49"/>
      <c r="C24" s="63"/>
      <c r="D24" s="66" t="s">
        <v>65</v>
      </c>
      <c r="E24" s="43">
        <v>24</v>
      </c>
      <c r="F24" s="43">
        <v>25</v>
      </c>
      <c r="G24" s="43">
        <v>26</v>
      </c>
      <c r="H24" s="43">
        <v>27</v>
      </c>
      <c r="I24" s="43">
        <v>28</v>
      </c>
      <c r="J24" s="43">
        <v>29</v>
      </c>
      <c r="K24" s="67"/>
      <c r="L24" s="52"/>
    </row>
    <row r="25" spans="2:12" ht="15" customHeight="1" x14ac:dyDescent="0.2">
      <c r="B25" s="49"/>
      <c r="C25" s="63"/>
      <c r="D25" s="66" t="s">
        <v>66</v>
      </c>
      <c r="E25" s="43">
        <v>23</v>
      </c>
      <c r="F25" s="43">
        <v>24</v>
      </c>
      <c r="G25" s="43">
        <v>25</v>
      </c>
      <c r="H25" s="43">
        <v>26</v>
      </c>
      <c r="I25" s="43">
        <v>27</v>
      </c>
      <c r="J25" s="43">
        <v>28</v>
      </c>
      <c r="K25" s="67"/>
      <c r="L25" s="52"/>
    </row>
    <row r="26" spans="2:12" ht="15" customHeight="1" x14ac:dyDescent="0.2">
      <c r="B26" s="49"/>
      <c r="C26" s="63"/>
      <c r="D26" s="66" t="s">
        <v>67</v>
      </c>
      <c r="E26" s="43">
        <v>24</v>
      </c>
      <c r="F26" s="43">
        <v>25</v>
      </c>
      <c r="G26" s="43">
        <v>26</v>
      </c>
      <c r="H26" s="43">
        <v>27</v>
      </c>
      <c r="I26" s="43">
        <v>28</v>
      </c>
      <c r="J26" s="43">
        <v>29</v>
      </c>
      <c r="K26" s="67"/>
      <c r="L26" s="52"/>
    </row>
    <row r="27" spans="2:12" ht="15" customHeight="1" x14ac:dyDescent="0.2">
      <c r="B27" s="49"/>
      <c r="C27" s="63"/>
      <c r="D27" s="66" t="s">
        <v>68</v>
      </c>
      <c r="E27" s="43">
        <v>20</v>
      </c>
      <c r="F27" s="43">
        <v>21</v>
      </c>
      <c r="G27" s="43">
        <v>23</v>
      </c>
      <c r="H27" s="43">
        <v>24</v>
      </c>
      <c r="I27" s="43">
        <v>27</v>
      </c>
      <c r="J27" s="43">
        <v>28</v>
      </c>
      <c r="K27" s="67"/>
      <c r="L27" s="52"/>
    </row>
    <row r="28" spans="2:12" ht="15" customHeight="1" x14ac:dyDescent="0.2">
      <c r="B28" s="49"/>
      <c r="C28" s="63"/>
      <c r="D28" s="66" t="s">
        <v>69</v>
      </c>
      <c r="E28" s="43">
        <v>21</v>
      </c>
      <c r="F28" s="43">
        <v>22</v>
      </c>
      <c r="G28" s="43">
        <v>23</v>
      </c>
      <c r="H28" s="43">
        <v>26</v>
      </c>
      <c r="I28" s="43">
        <v>27</v>
      </c>
      <c r="J28" s="43">
        <v>28</v>
      </c>
      <c r="K28" s="67"/>
      <c r="L28" s="52"/>
    </row>
    <row r="29" spans="2:12" ht="15" customHeight="1" x14ac:dyDescent="0.2">
      <c r="B29" s="49"/>
      <c r="C29" s="63"/>
      <c r="D29" s="66" t="s">
        <v>70</v>
      </c>
      <c r="E29" s="43">
        <v>22</v>
      </c>
      <c r="F29" s="43">
        <v>23</v>
      </c>
      <c r="G29" s="43">
        <v>24</v>
      </c>
      <c r="H29" s="43">
        <v>25</v>
      </c>
      <c r="I29" s="43">
        <v>26</v>
      </c>
      <c r="J29" s="43">
        <v>29</v>
      </c>
      <c r="K29" s="67"/>
      <c r="L29" s="52"/>
    </row>
    <row r="30" spans="2:12" ht="15" customHeight="1" x14ac:dyDescent="0.2">
      <c r="B30" s="49"/>
      <c r="C30" s="63"/>
      <c r="D30" s="66" t="s">
        <v>71</v>
      </c>
      <c r="E30" s="43">
        <v>22</v>
      </c>
      <c r="F30" s="43">
        <v>23</v>
      </c>
      <c r="G30" s="43">
        <v>24</v>
      </c>
      <c r="H30" s="43">
        <v>25</v>
      </c>
      <c r="I30" s="43">
        <v>26</v>
      </c>
      <c r="J30" s="43">
        <v>27</v>
      </c>
      <c r="K30" s="67"/>
      <c r="L30" s="52"/>
    </row>
    <row r="31" spans="2:12" ht="15" customHeight="1" x14ac:dyDescent="0.2">
      <c r="B31" s="49"/>
      <c r="C31" s="63"/>
      <c r="D31" s="66" t="s">
        <v>72</v>
      </c>
      <c r="E31" s="43"/>
      <c r="F31" s="43"/>
      <c r="G31" s="43"/>
      <c r="H31" s="43"/>
      <c r="I31" s="43"/>
      <c r="J31" s="43"/>
      <c r="K31" s="67"/>
      <c r="L31" s="52"/>
    </row>
    <row r="32" spans="2:12" ht="15" customHeight="1" x14ac:dyDescent="0.2">
      <c r="B32" s="49"/>
      <c r="C32" s="63"/>
      <c r="D32" s="66" t="s">
        <v>73</v>
      </c>
      <c r="E32" s="43"/>
      <c r="F32" s="43"/>
      <c r="G32" s="43"/>
      <c r="H32" s="43"/>
      <c r="I32" s="43"/>
      <c r="J32" s="43"/>
      <c r="K32" s="67"/>
      <c r="L32" s="52"/>
    </row>
    <row r="33" spans="2:19" ht="15" customHeight="1" x14ac:dyDescent="0.2">
      <c r="B33" s="49"/>
      <c r="C33" s="63"/>
      <c r="D33" s="66" t="s">
        <v>74</v>
      </c>
      <c r="E33" s="43"/>
      <c r="F33" s="43"/>
      <c r="G33" s="43"/>
      <c r="H33" s="43"/>
      <c r="I33" s="43"/>
      <c r="J33" s="43"/>
      <c r="K33" s="67"/>
      <c r="L33" s="52"/>
    </row>
    <row r="34" spans="2:19" ht="15" customHeight="1" x14ac:dyDescent="0.2">
      <c r="B34" s="49"/>
      <c r="C34" s="63"/>
      <c r="D34" s="66" t="s">
        <v>75</v>
      </c>
      <c r="E34" s="43"/>
      <c r="F34" s="43"/>
      <c r="G34" s="43"/>
      <c r="H34" s="43"/>
      <c r="I34" s="43"/>
      <c r="J34" s="43"/>
      <c r="K34" s="67"/>
      <c r="L34" s="52"/>
    </row>
    <row r="35" spans="2:19" ht="15" customHeight="1" thickBot="1" x14ac:dyDescent="0.25">
      <c r="B35" s="49"/>
      <c r="C35" s="63"/>
      <c r="D35" s="66" t="s">
        <v>76</v>
      </c>
      <c r="E35" s="44"/>
      <c r="F35" s="44"/>
      <c r="G35" s="44"/>
      <c r="H35" s="44"/>
      <c r="I35" s="44"/>
      <c r="J35" s="44"/>
      <c r="K35" s="67"/>
      <c r="L35" s="52"/>
    </row>
    <row r="36" spans="2:19" ht="15" customHeight="1" x14ac:dyDescent="0.2">
      <c r="B36" s="49"/>
      <c r="C36" s="63"/>
      <c r="D36" s="68" t="s">
        <v>419</v>
      </c>
      <c r="E36" s="341">
        <f t="shared" ref="E36:J36" si="0">E35</f>
        <v>0</v>
      </c>
      <c r="F36" s="341">
        <f t="shared" si="0"/>
        <v>0</v>
      </c>
      <c r="G36" s="341">
        <f t="shared" si="0"/>
        <v>0</v>
      </c>
      <c r="H36" s="341">
        <f t="shared" si="0"/>
        <v>0</v>
      </c>
      <c r="I36" s="341">
        <f t="shared" si="0"/>
        <v>0</v>
      </c>
      <c r="J36" s="341">
        <f t="shared" si="0"/>
        <v>0</v>
      </c>
      <c r="K36" s="67"/>
      <c r="L36" s="52"/>
    </row>
    <row r="37" spans="2:19" ht="15" customHeight="1" x14ac:dyDescent="0.2">
      <c r="B37" s="49"/>
      <c r="C37" s="63"/>
      <c r="D37" s="68" t="s">
        <v>420</v>
      </c>
      <c r="E37" s="69">
        <f t="shared" ref="E37:J37" si="1">SUM(E22:E34)</f>
        <v>198</v>
      </c>
      <c r="F37" s="69">
        <f t="shared" si="1"/>
        <v>208</v>
      </c>
      <c r="G37" s="69">
        <f t="shared" si="1"/>
        <v>218</v>
      </c>
      <c r="H37" s="69">
        <f t="shared" si="1"/>
        <v>229</v>
      </c>
      <c r="I37" s="69">
        <f t="shared" si="1"/>
        <v>240</v>
      </c>
      <c r="J37" s="69">
        <f t="shared" si="1"/>
        <v>252</v>
      </c>
      <c r="K37" s="70"/>
      <c r="L37" s="52"/>
    </row>
    <row r="38" spans="2:19" ht="15" customHeight="1" x14ac:dyDescent="0.2">
      <c r="B38" s="49"/>
      <c r="C38" s="63"/>
      <c r="D38" s="71"/>
      <c r="E38" s="72"/>
      <c r="F38" s="72"/>
      <c r="G38" s="72"/>
      <c r="H38" s="72"/>
      <c r="I38" s="72"/>
      <c r="J38" s="73"/>
      <c r="K38" s="74"/>
      <c r="L38" s="52"/>
    </row>
    <row r="39" spans="2:19" ht="15" customHeight="1" x14ac:dyDescent="0.2">
      <c r="B39" s="49"/>
      <c r="C39" s="63"/>
      <c r="D39" s="71" t="s">
        <v>84</v>
      </c>
      <c r="E39" s="88">
        <v>25</v>
      </c>
      <c r="F39" s="88">
        <f>(F30+F29+F28+F27+F26+F25+F24+F23+F22)*0.1</f>
        <v>20.8</v>
      </c>
      <c r="G39" s="88">
        <f>(G30+G29+G28+G27+G26+G25+G24+G23+G22)*0.1</f>
        <v>21.8</v>
      </c>
      <c r="H39" s="88">
        <f>(H30+H29+H28+H27+H26+H25+H24+H23+H22)*0.1</f>
        <v>22.900000000000002</v>
      </c>
      <c r="I39" s="88">
        <f>(I30+I29+I28+I27+I26+I25+I24+I23+I22)*0.1</f>
        <v>24</v>
      </c>
      <c r="J39" s="88">
        <f>(J30+J29+J28+J27+J26+J25+J24+J23+J22)*0.1</f>
        <v>25.200000000000003</v>
      </c>
      <c r="K39" s="70"/>
      <c r="L39" s="52"/>
    </row>
    <row r="40" spans="2:19" ht="15" customHeight="1" x14ac:dyDescent="0.2">
      <c r="B40" s="49"/>
      <c r="C40" s="63"/>
      <c r="D40" s="71" t="s">
        <v>85</v>
      </c>
      <c r="E40" s="88">
        <v>10</v>
      </c>
      <c r="F40" s="88">
        <f>(F30+F29+F28+F27+F26+F25+F24+F23+F22)*0.05</f>
        <v>10.4</v>
      </c>
      <c r="G40" s="88">
        <f>(G30+G29+G28+G27+G26+G25+G24+G23+G22)*0.05</f>
        <v>10.9</v>
      </c>
      <c r="H40" s="88">
        <f>(H30+H29+H28+H27+H26+H25+H24+H23+H22)*0.05</f>
        <v>11.450000000000001</v>
      </c>
      <c r="I40" s="88">
        <f>(I30+I29+I28+I27+I26+I25+I24+I23+I22)*0.05</f>
        <v>12</v>
      </c>
      <c r="J40" s="88">
        <f>(J30+J29+J28+J27+J26+J25+J24+J23+J22)*0.05</f>
        <v>12.600000000000001</v>
      </c>
      <c r="K40" s="70"/>
      <c r="L40" s="52"/>
      <c r="R40" s="75"/>
      <c r="S40" s="75"/>
    </row>
    <row r="41" spans="2:19" ht="15" customHeight="1" x14ac:dyDescent="0.2">
      <c r="B41" s="49"/>
      <c r="C41" s="63"/>
      <c r="D41" s="71" t="s">
        <v>394</v>
      </c>
      <c r="E41" s="88">
        <v>178</v>
      </c>
      <c r="F41" s="88">
        <f>F37*0.9</f>
        <v>187.20000000000002</v>
      </c>
      <c r="G41" s="88">
        <f>G37*0.9</f>
        <v>196.20000000000002</v>
      </c>
      <c r="H41" s="88">
        <f>H37*0.9</f>
        <v>206.1</v>
      </c>
      <c r="I41" s="88">
        <f>I37*0.9</f>
        <v>216</v>
      </c>
      <c r="J41" s="88">
        <f>J37*0.9</f>
        <v>226.8</v>
      </c>
      <c r="K41" s="70"/>
      <c r="L41" s="52"/>
      <c r="R41" s="76"/>
      <c r="S41" s="76"/>
    </row>
    <row r="42" spans="2:19" ht="15" customHeight="1" x14ac:dyDescent="0.2">
      <c r="B42" s="49"/>
      <c r="C42" s="63"/>
      <c r="D42" s="71"/>
      <c r="E42" s="72"/>
      <c r="F42" s="72"/>
      <c r="G42" s="72"/>
      <c r="H42" s="72"/>
      <c r="I42" s="72"/>
      <c r="J42" s="77"/>
      <c r="K42" s="74"/>
      <c r="L42" s="52"/>
      <c r="R42" s="76"/>
      <c r="S42" s="76"/>
    </row>
    <row r="43" spans="2:19" ht="15" customHeight="1" x14ac:dyDescent="0.2">
      <c r="B43" s="49"/>
      <c r="C43" s="63"/>
      <c r="D43" s="71" t="s">
        <v>409</v>
      </c>
      <c r="E43" s="78">
        <f>E37*VLOOKUP('1. Instructions'!$E$7,CONTROL!$C$18:$G$307,5,FALSE)</f>
        <v>1307759.31</v>
      </c>
      <c r="F43" s="78">
        <f>F37*VLOOKUP('1. Instructions'!$E$7,CONTROL!$C$18:$G$307,5,FALSE)</f>
        <v>1373807.76</v>
      </c>
      <c r="G43" s="78">
        <f>G37*VLOOKUP('1. Instructions'!$E$7,CONTROL!$C$18:$G$307,5,FALSE)</f>
        <v>1439856.21</v>
      </c>
      <c r="H43" s="78">
        <f>H37*VLOOKUP('1. Instructions'!$E$7,CONTROL!$C$18:$G$307,5,FALSE)</f>
        <v>1512509.5050000001</v>
      </c>
      <c r="I43" s="78">
        <f>I37*VLOOKUP('1. Instructions'!$E$7,CONTROL!$C$18:$G$307,5,FALSE)</f>
        <v>1585162.8</v>
      </c>
      <c r="J43" s="78">
        <f>J37*VLOOKUP('1. Instructions'!$E$7,CONTROL!$C$18:$G$307,5,FALSE)</f>
        <v>1664420.9400000002</v>
      </c>
      <c r="K43" s="74"/>
      <c r="L43" s="52"/>
      <c r="S43" s="76"/>
    </row>
    <row r="44" spans="2:19" ht="15" customHeight="1" x14ac:dyDescent="0.2">
      <c r="B44" s="49"/>
      <c r="C44" s="63"/>
      <c r="D44" s="71" t="s">
        <v>410</v>
      </c>
      <c r="E44" s="78">
        <f>CONTROL!$K$23*E36</f>
        <v>0</v>
      </c>
      <c r="F44" s="78">
        <f>CONTROL!$K$23*F36</f>
        <v>0</v>
      </c>
      <c r="G44" s="78">
        <f>CONTROL!$K$23*G36</f>
        <v>0</v>
      </c>
      <c r="H44" s="78">
        <f>CONTROL!$K$23*H36</f>
        <v>0</v>
      </c>
      <c r="I44" s="78">
        <f>CONTROL!$K$23*I36</f>
        <v>0</v>
      </c>
      <c r="J44" s="78">
        <f>CONTROL!$K$23*J36</f>
        <v>0</v>
      </c>
      <c r="K44" s="74"/>
      <c r="L44" s="52"/>
      <c r="P44" s="340"/>
      <c r="S44" s="76"/>
    </row>
    <row r="45" spans="2:19" ht="15" customHeight="1" x14ac:dyDescent="0.2">
      <c r="B45" s="49"/>
      <c r="C45" s="63"/>
      <c r="D45" s="71" t="s">
        <v>411</v>
      </c>
      <c r="E45" s="78">
        <f t="shared" ref="E45:J45" si="2">SUM(E43:E44)</f>
        <v>1307759.31</v>
      </c>
      <c r="F45" s="78">
        <f t="shared" si="2"/>
        <v>1373807.76</v>
      </c>
      <c r="G45" s="78">
        <f t="shared" si="2"/>
        <v>1439856.21</v>
      </c>
      <c r="H45" s="78">
        <f t="shared" si="2"/>
        <v>1512509.5050000001</v>
      </c>
      <c r="I45" s="78">
        <f t="shared" si="2"/>
        <v>1585162.8</v>
      </c>
      <c r="J45" s="78">
        <f t="shared" si="2"/>
        <v>1664420.9400000002</v>
      </c>
      <c r="K45" s="74"/>
      <c r="L45" s="52"/>
      <c r="S45" s="76"/>
    </row>
    <row r="46" spans="2:19" ht="15" customHeight="1" x14ac:dyDescent="0.2">
      <c r="B46" s="49"/>
      <c r="C46" s="63"/>
      <c r="D46" s="391" t="s">
        <v>437</v>
      </c>
      <c r="E46" s="398"/>
      <c r="F46" s="78">
        <f>F45*0.95</f>
        <v>1305117.372</v>
      </c>
      <c r="G46" s="78">
        <f>G45*0.97</f>
        <v>1396660.5237</v>
      </c>
      <c r="H46" s="78">
        <f>H45*0.97</f>
        <v>1467134.21985</v>
      </c>
      <c r="I46" s="78">
        <f>I45*0.99</f>
        <v>1569311.172</v>
      </c>
      <c r="J46" s="78">
        <f>J45*0.99</f>
        <v>1647776.7306000001</v>
      </c>
      <c r="K46" s="74"/>
      <c r="L46" s="52"/>
      <c r="S46" s="76"/>
    </row>
    <row r="47" spans="2:19" ht="15" customHeight="1" x14ac:dyDescent="0.2">
      <c r="B47" s="49"/>
      <c r="C47" s="63"/>
      <c r="D47" s="71"/>
      <c r="E47" s="71"/>
      <c r="F47" s="72"/>
      <c r="G47" s="72"/>
      <c r="H47" s="72"/>
      <c r="I47" s="72"/>
      <c r="J47" s="72"/>
      <c r="K47" s="74"/>
      <c r="L47" s="52"/>
      <c r="R47" s="76"/>
      <c r="S47" s="76"/>
    </row>
    <row r="48" spans="2:19" ht="15" customHeight="1" x14ac:dyDescent="0.2">
      <c r="B48" s="49"/>
      <c r="C48" s="63"/>
      <c r="D48" s="445" t="s">
        <v>463</v>
      </c>
      <c r="E48" s="446"/>
      <c r="F48" s="447"/>
      <c r="G48" s="447"/>
      <c r="H48" s="447"/>
      <c r="I48" s="447"/>
      <c r="J48" s="448"/>
      <c r="K48" s="74"/>
      <c r="L48" s="52"/>
      <c r="R48" s="76"/>
      <c r="S48" s="76"/>
    </row>
    <row r="49" spans="2:19" ht="15" customHeight="1" x14ac:dyDescent="0.2">
      <c r="B49" s="49"/>
      <c r="C49" s="63"/>
      <c r="D49" s="449"/>
      <c r="E49" s="450"/>
      <c r="F49" s="450"/>
      <c r="G49" s="450"/>
      <c r="H49" s="450"/>
      <c r="I49" s="450"/>
      <c r="J49" s="451"/>
      <c r="K49" s="74"/>
      <c r="L49" s="52"/>
      <c r="R49" s="76"/>
      <c r="S49" s="76"/>
    </row>
    <row r="50" spans="2:19" ht="15" customHeight="1" x14ac:dyDescent="0.2">
      <c r="B50" s="49"/>
      <c r="C50" s="63"/>
      <c r="D50" s="449"/>
      <c r="E50" s="450"/>
      <c r="F50" s="450"/>
      <c r="G50" s="450"/>
      <c r="H50" s="450"/>
      <c r="I50" s="450"/>
      <c r="J50" s="451"/>
      <c r="K50" s="74"/>
      <c r="L50" s="52"/>
      <c r="R50" s="76"/>
      <c r="S50" s="76"/>
    </row>
    <row r="51" spans="2:19" ht="15" customHeight="1" x14ac:dyDescent="0.2">
      <c r="B51" s="49"/>
      <c r="C51" s="63"/>
      <c r="D51" s="449"/>
      <c r="E51" s="450"/>
      <c r="F51" s="450"/>
      <c r="G51" s="450"/>
      <c r="H51" s="450"/>
      <c r="I51" s="450"/>
      <c r="J51" s="451"/>
      <c r="K51" s="74"/>
      <c r="L51" s="52"/>
      <c r="R51" s="76"/>
      <c r="S51" s="76"/>
    </row>
    <row r="52" spans="2:19" ht="15" customHeight="1" x14ac:dyDescent="0.2">
      <c r="B52" s="49"/>
      <c r="C52" s="63"/>
      <c r="D52" s="449"/>
      <c r="E52" s="450"/>
      <c r="F52" s="450"/>
      <c r="G52" s="450"/>
      <c r="H52" s="450"/>
      <c r="I52" s="450"/>
      <c r="J52" s="451"/>
      <c r="K52" s="74"/>
      <c r="L52" s="52"/>
      <c r="R52" s="76"/>
      <c r="S52" s="76"/>
    </row>
    <row r="53" spans="2:19" ht="15" customHeight="1" x14ac:dyDescent="0.2">
      <c r="B53" s="49"/>
      <c r="C53" s="63"/>
      <c r="D53" s="449"/>
      <c r="E53" s="450"/>
      <c r="F53" s="450"/>
      <c r="G53" s="450"/>
      <c r="H53" s="450"/>
      <c r="I53" s="450"/>
      <c r="J53" s="451"/>
      <c r="K53" s="74"/>
      <c r="L53" s="52"/>
      <c r="R53" s="76"/>
      <c r="S53" s="76"/>
    </row>
    <row r="54" spans="2:19" ht="15" customHeight="1" x14ac:dyDescent="0.2">
      <c r="B54" s="49"/>
      <c r="C54" s="63"/>
      <c r="D54" s="449"/>
      <c r="E54" s="450"/>
      <c r="F54" s="450"/>
      <c r="G54" s="450"/>
      <c r="H54" s="450"/>
      <c r="I54" s="450"/>
      <c r="J54" s="451"/>
      <c r="K54" s="74"/>
      <c r="L54" s="52"/>
      <c r="R54" s="76"/>
      <c r="S54" s="76"/>
    </row>
    <row r="55" spans="2:19" ht="15" customHeight="1" x14ac:dyDescent="0.2">
      <c r="B55" s="49"/>
      <c r="C55" s="63"/>
      <c r="D55" s="449"/>
      <c r="E55" s="450"/>
      <c r="F55" s="450"/>
      <c r="G55" s="450"/>
      <c r="H55" s="450"/>
      <c r="I55" s="450"/>
      <c r="J55" s="451"/>
      <c r="K55" s="74"/>
      <c r="L55" s="52"/>
      <c r="R55" s="76"/>
      <c r="S55" s="76"/>
    </row>
    <row r="56" spans="2:19" ht="15" customHeight="1" x14ac:dyDescent="0.2">
      <c r="B56" s="49"/>
      <c r="C56" s="63"/>
      <c r="D56" s="449"/>
      <c r="E56" s="450"/>
      <c r="F56" s="450"/>
      <c r="G56" s="450"/>
      <c r="H56" s="450"/>
      <c r="I56" s="450"/>
      <c r="J56" s="451"/>
      <c r="K56" s="74"/>
      <c r="L56" s="52"/>
      <c r="R56" s="76"/>
      <c r="S56" s="76"/>
    </row>
    <row r="57" spans="2:19" ht="15" customHeight="1" x14ac:dyDescent="0.2">
      <c r="B57" s="49"/>
      <c r="C57" s="63"/>
      <c r="D57" s="449"/>
      <c r="E57" s="450"/>
      <c r="F57" s="450"/>
      <c r="G57" s="450"/>
      <c r="H57" s="450"/>
      <c r="I57" s="450"/>
      <c r="J57" s="451"/>
      <c r="K57" s="74"/>
      <c r="L57" s="52"/>
      <c r="R57" s="76"/>
      <c r="S57" s="76"/>
    </row>
    <row r="58" spans="2:19" ht="15" customHeight="1" x14ac:dyDescent="0.2">
      <c r="B58" s="49"/>
      <c r="C58" s="63"/>
      <c r="D58" s="449"/>
      <c r="E58" s="450"/>
      <c r="F58" s="450"/>
      <c r="G58" s="450"/>
      <c r="H58" s="450"/>
      <c r="I58" s="450"/>
      <c r="J58" s="451"/>
      <c r="K58" s="74"/>
      <c r="L58" s="52"/>
      <c r="R58" s="76"/>
      <c r="S58" s="76"/>
    </row>
    <row r="59" spans="2:19" ht="15" customHeight="1" x14ac:dyDescent="0.2">
      <c r="B59" s="49"/>
      <c r="C59" s="63"/>
      <c r="D59" s="449"/>
      <c r="E59" s="450"/>
      <c r="F59" s="450"/>
      <c r="G59" s="450"/>
      <c r="H59" s="450"/>
      <c r="I59" s="450"/>
      <c r="J59" s="451"/>
      <c r="K59" s="74"/>
      <c r="L59" s="52"/>
      <c r="R59" s="76"/>
      <c r="S59" s="76"/>
    </row>
    <row r="60" spans="2:19" ht="15" customHeight="1" x14ac:dyDescent="0.2">
      <c r="B60" s="49"/>
      <c r="C60" s="63"/>
      <c r="D60" s="449"/>
      <c r="E60" s="450"/>
      <c r="F60" s="450"/>
      <c r="G60" s="450"/>
      <c r="H60" s="450"/>
      <c r="I60" s="450"/>
      <c r="J60" s="451"/>
      <c r="K60" s="74"/>
      <c r="L60" s="52"/>
      <c r="R60" s="76"/>
      <c r="S60" s="76"/>
    </row>
    <row r="61" spans="2:19" ht="15" customHeight="1" x14ac:dyDescent="0.2">
      <c r="B61" s="49"/>
      <c r="C61" s="63"/>
      <c r="D61" s="449"/>
      <c r="E61" s="450"/>
      <c r="F61" s="450"/>
      <c r="G61" s="450"/>
      <c r="H61" s="450"/>
      <c r="I61" s="450"/>
      <c r="J61" s="451"/>
      <c r="K61" s="74"/>
      <c r="L61" s="52"/>
      <c r="R61" s="76"/>
      <c r="S61" s="76"/>
    </row>
    <row r="62" spans="2:19" ht="15" customHeight="1" x14ac:dyDescent="0.2">
      <c r="B62" s="49"/>
      <c r="C62" s="63"/>
      <c r="D62" s="449"/>
      <c r="E62" s="450"/>
      <c r="F62" s="450"/>
      <c r="G62" s="450"/>
      <c r="H62" s="450"/>
      <c r="I62" s="450"/>
      <c r="J62" s="451"/>
      <c r="K62" s="74"/>
      <c r="L62" s="52"/>
      <c r="R62" s="76"/>
      <c r="S62" s="76"/>
    </row>
    <row r="63" spans="2:19" ht="15" customHeight="1" x14ac:dyDescent="0.2">
      <c r="B63" s="49"/>
      <c r="C63" s="63"/>
      <c r="D63" s="449"/>
      <c r="E63" s="450"/>
      <c r="F63" s="450"/>
      <c r="G63" s="450"/>
      <c r="H63" s="450"/>
      <c r="I63" s="450"/>
      <c r="J63" s="451"/>
      <c r="K63" s="74"/>
      <c r="L63" s="52"/>
      <c r="R63" s="76"/>
      <c r="S63" s="76"/>
    </row>
    <row r="64" spans="2:19" ht="15" customHeight="1" x14ac:dyDescent="0.2">
      <c r="B64" s="49"/>
      <c r="C64" s="63"/>
      <c r="D64" s="452"/>
      <c r="E64" s="453"/>
      <c r="F64" s="453"/>
      <c r="G64" s="453"/>
      <c r="H64" s="453"/>
      <c r="I64" s="453"/>
      <c r="J64" s="454"/>
      <c r="K64" s="74"/>
      <c r="L64" s="52"/>
      <c r="R64" s="76"/>
      <c r="S64" s="76"/>
    </row>
    <row r="65" spans="2:19" ht="15" customHeight="1" x14ac:dyDescent="0.2">
      <c r="B65" s="49"/>
      <c r="C65" s="79"/>
      <c r="D65" s="80"/>
      <c r="E65" s="80"/>
      <c r="F65" s="10"/>
      <c r="G65" s="10"/>
      <c r="H65" s="10"/>
      <c r="I65" s="10"/>
      <c r="J65" s="10"/>
      <c r="K65" s="81"/>
      <c r="L65" s="52"/>
      <c r="R65" s="82"/>
      <c r="S65" s="82"/>
    </row>
    <row r="66" spans="2:19" ht="15" customHeight="1" thickBot="1" x14ac:dyDescent="0.25">
      <c r="B66" s="83"/>
      <c r="C66" s="84"/>
      <c r="D66" s="84"/>
      <c r="E66" s="84"/>
      <c r="F66" s="84"/>
      <c r="G66" s="84"/>
      <c r="H66" s="84"/>
      <c r="I66" s="84"/>
      <c r="J66" s="84"/>
      <c r="K66" s="84"/>
      <c r="L66" s="85"/>
      <c r="R66" s="86"/>
      <c r="S66" s="86"/>
    </row>
    <row r="67" spans="2:19" x14ac:dyDescent="0.2">
      <c r="R67" s="87"/>
      <c r="S67" s="87"/>
    </row>
  </sheetData>
  <sheetProtection algorithmName="SHA-512" hashValue="kGlXXIXa358g95i+mK6bGgSBug1MQV9g82NUHFEK7pthsttf/2ejhdvkFByNBfv7vsoOcncJk7X3enyaCpQoiQ==" saltValue="SHI7qN7JhkmIL5/HhWuqJA==" spinCount="100000" sheet="1" objects="1" scenarios="1" selectLockedCells="1"/>
  <customSheetViews>
    <customSheetView guid="{4EB07C87-A9F4-403E-8C0F-324FFB87E1FF}">
      <selection activeCell="P5" sqref="P5:R9"/>
      <pageMargins left="0.7" right="0.7" top="0.75" bottom="0.75" header="0.3" footer="0.3"/>
      <pageSetup orientation="portrait"/>
    </customSheetView>
    <customSheetView guid="{78108F25-E067-40AC-B09B-6FE5187CDB4B}" topLeftCell="A10">
      <selection activeCell="B21" sqref="B21:C21"/>
      <pageMargins left="0.7" right="0.7" top="0.75" bottom="0.75" header="0.3" footer="0.3"/>
      <pageSetup orientation="portrait"/>
    </customSheetView>
  </customSheetViews>
  <mergeCells count="5">
    <mergeCell ref="D3:J3"/>
    <mergeCell ref="D4:J4"/>
    <mergeCell ref="D48:J64"/>
    <mergeCell ref="D11:J17"/>
    <mergeCell ref="D10:J10"/>
  </mergeCells>
  <pageMargins left="0.7" right="0.7" top="0.75" bottom="0.75" header="0.3" footer="0.3"/>
  <pageSetup scale="79" fitToHeight="0" orientation="portrait" r:id="rId1"/>
  <ignoredErrors>
    <ignoredError sqref="F37:J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AW155"/>
  <sheetViews>
    <sheetView topLeftCell="O16" zoomScaleNormal="100" workbookViewId="0">
      <selection activeCell="L14" sqref="L14"/>
    </sheetView>
  </sheetViews>
  <sheetFormatPr defaultColWidth="15.7109375" defaultRowHeight="12.75" x14ac:dyDescent="0.2"/>
  <cols>
    <col min="1" max="1" width="3" style="96" customWidth="1"/>
    <col min="2" max="3" width="3" style="101" customWidth="1"/>
    <col min="4" max="4" width="33.140625" style="101" customWidth="1"/>
    <col min="5" max="5" width="3" style="96" customWidth="1"/>
    <col min="6" max="6" width="10.7109375" style="101" customWidth="1"/>
    <col min="7" max="7" width="14.7109375" style="101" customWidth="1"/>
    <col min="8" max="8" width="14.28515625" style="101" customWidth="1"/>
    <col min="9" max="9" width="3" style="97" customWidth="1"/>
    <col min="10" max="10" width="3" style="96" customWidth="1"/>
    <col min="11" max="11" width="10.7109375" style="101" customWidth="1"/>
    <col min="12" max="12" width="14.7109375" style="101" customWidth="1"/>
    <col min="13" max="13" width="14.28515625" style="101" customWidth="1"/>
    <col min="14" max="14" width="3" style="97" customWidth="1"/>
    <col min="15" max="15" width="10.7109375" style="101" customWidth="1"/>
    <col min="16" max="16" width="14.7109375" style="101" customWidth="1"/>
    <col min="17" max="17" width="14.28515625" style="101" customWidth="1"/>
    <col min="18" max="18" width="3" style="97" customWidth="1"/>
    <col min="19" max="19" width="10.7109375" style="101" customWidth="1"/>
    <col min="20" max="20" width="14.7109375" style="101" customWidth="1"/>
    <col min="21" max="21" width="14.28515625" style="101" customWidth="1"/>
    <col min="22" max="22" width="3" style="97" customWidth="1"/>
    <col min="23" max="23" width="10.7109375" style="101" customWidth="1"/>
    <col min="24" max="24" width="14.7109375" style="101" customWidth="1"/>
    <col min="25" max="25" width="14.28515625" style="101" customWidth="1"/>
    <col min="26" max="26" width="3" style="97" customWidth="1"/>
    <col min="27" max="27" width="10.7109375" style="100" customWidth="1"/>
    <col min="28" max="28" width="14.7109375" style="100" customWidth="1"/>
    <col min="29" max="29" width="14.28515625" style="100" customWidth="1"/>
    <col min="30" max="30" width="3" style="97" customWidth="1"/>
    <col min="31" max="31" width="3" style="100" customWidth="1"/>
    <col min="32" max="49" width="15.7109375" style="100" customWidth="1"/>
    <col min="50" max="16384" width="15.7109375" style="101"/>
  </cols>
  <sheetData>
    <row r="1" spans="1:49" s="96" customFormat="1" ht="15" customHeight="1" thickBot="1" x14ac:dyDescent="0.25">
      <c r="I1" s="97"/>
      <c r="N1" s="97"/>
      <c r="R1" s="97"/>
      <c r="V1" s="97"/>
      <c r="Z1" s="97"/>
      <c r="AA1" s="97"/>
      <c r="AB1" s="97"/>
      <c r="AC1" s="97"/>
      <c r="AD1" s="97"/>
      <c r="AE1" s="97"/>
      <c r="AF1" s="97"/>
      <c r="AG1" s="97"/>
      <c r="AH1" s="97"/>
      <c r="AI1" s="97"/>
      <c r="AJ1" s="97"/>
      <c r="AK1" s="97"/>
      <c r="AL1" s="97"/>
      <c r="AM1" s="97"/>
      <c r="AN1" s="97"/>
      <c r="AO1" s="97"/>
      <c r="AP1" s="97"/>
      <c r="AQ1" s="97"/>
      <c r="AR1" s="97"/>
      <c r="AS1" s="97"/>
      <c r="AT1" s="97"/>
      <c r="AU1" s="97"/>
      <c r="AV1" s="97"/>
      <c r="AW1" s="97"/>
    </row>
    <row r="2" spans="1:49" ht="15" customHeight="1" x14ac:dyDescent="0.2">
      <c r="B2" s="98"/>
      <c r="C2" s="480" t="s">
        <v>465</v>
      </c>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99"/>
    </row>
    <row r="3" spans="1:49" ht="15" customHeight="1" x14ac:dyDescent="0.2">
      <c r="B3" s="102"/>
      <c r="C3" s="103"/>
      <c r="D3" s="104" t="s">
        <v>62</v>
      </c>
      <c r="E3" s="104"/>
      <c r="F3" s="105" t="str">
        <f>IF(ISBLANK('1. Instructions'!E6),"Please enter School Name on Tab 1.",'1. Instructions'!E6)</f>
        <v>Higher Institute of Arts &amp; Technology</v>
      </c>
      <c r="G3" s="106"/>
      <c r="H3" s="106"/>
      <c r="I3" s="106"/>
      <c r="J3" s="104"/>
      <c r="K3" s="392"/>
      <c r="L3" s="106"/>
      <c r="M3" s="106"/>
      <c r="N3" s="106"/>
      <c r="O3" s="106"/>
      <c r="P3" s="106"/>
      <c r="Q3" s="106"/>
      <c r="R3" s="106"/>
      <c r="S3" s="106"/>
      <c r="T3" s="106"/>
      <c r="U3" s="106"/>
      <c r="V3" s="106"/>
      <c r="W3" s="106"/>
      <c r="X3" s="106"/>
      <c r="Y3" s="106"/>
      <c r="Z3" s="106"/>
      <c r="AA3" s="106"/>
      <c r="AB3" s="106"/>
      <c r="AC3" s="106"/>
      <c r="AD3" s="103"/>
      <c r="AE3" s="107"/>
    </row>
    <row r="4" spans="1:49" ht="15" customHeight="1" x14ac:dyDescent="0.2">
      <c r="B4" s="102"/>
      <c r="C4" s="103"/>
      <c r="D4" s="104" t="s">
        <v>422</v>
      </c>
      <c r="E4" s="104"/>
      <c r="F4" s="105" t="str">
        <f ca="1">'1. Instructions'!E8</f>
        <v>2021 - 22 SY</v>
      </c>
      <c r="G4" s="106"/>
      <c r="H4" s="106"/>
      <c r="I4" s="106"/>
      <c r="J4" s="104"/>
      <c r="K4" s="392"/>
      <c r="L4" s="106"/>
      <c r="M4" s="106"/>
      <c r="N4" s="106"/>
      <c r="O4" s="106"/>
      <c r="P4" s="106"/>
      <c r="Q4" s="106"/>
      <c r="R4" s="106"/>
      <c r="S4" s="106"/>
      <c r="T4" s="106"/>
      <c r="U4" s="106"/>
      <c r="V4" s="106"/>
      <c r="W4" s="106"/>
      <c r="X4" s="106"/>
      <c r="Y4" s="106"/>
      <c r="Z4" s="106"/>
      <c r="AA4" s="106"/>
      <c r="AB4" s="106"/>
      <c r="AC4" s="106"/>
      <c r="AD4" s="103"/>
      <c r="AE4" s="107"/>
    </row>
    <row r="5" spans="1:49" s="112" customFormat="1" ht="15" customHeight="1" x14ac:dyDescent="0.2">
      <c r="A5" s="108"/>
      <c r="B5" s="109"/>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10"/>
      <c r="AF5" s="111"/>
      <c r="AG5" s="111"/>
      <c r="AH5" s="111"/>
      <c r="AI5" s="111"/>
      <c r="AJ5" s="111"/>
      <c r="AK5" s="111"/>
      <c r="AL5" s="111"/>
      <c r="AM5" s="111"/>
      <c r="AN5" s="111"/>
      <c r="AO5" s="111"/>
      <c r="AP5" s="111"/>
      <c r="AQ5" s="111"/>
      <c r="AR5" s="111"/>
      <c r="AS5" s="111"/>
      <c r="AT5" s="111"/>
      <c r="AU5" s="111"/>
      <c r="AV5" s="111"/>
      <c r="AW5" s="111"/>
    </row>
    <row r="6" spans="1:49" ht="15" customHeight="1" x14ac:dyDescent="0.2">
      <c r="B6" s="102"/>
      <c r="C6" s="103"/>
      <c r="D6" s="113" t="s">
        <v>404</v>
      </c>
      <c r="E6" s="114"/>
      <c r="F6" s="114"/>
      <c r="G6" s="114"/>
      <c r="H6" s="114"/>
      <c r="I6" s="114"/>
      <c r="J6" s="114"/>
      <c r="K6" s="114"/>
      <c r="L6" s="114"/>
      <c r="M6" s="114"/>
      <c r="N6" s="114"/>
      <c r="O6" s="114"/>
      <c r="P6" s="114"/>
      <c r="Q6" s="114"/>
      <c r="R6" s="114"/>
      <c r="S6" s="114"/>
      <c r="T6" s="115"/>
      <c r="U6" s="103"/>
      <c r="V6" s="103"/>
      <c r="W6" s="103"/>
      <c r="X6" s="103"/>
      <c r="Y6" s="103"/>
      <c r="Z6" s="103"/>
      <c r="AA6" s="103"/>
      <c r="AB6" s="103"/>
      <c r="AC6" s="103"/>
      <c r="AD6" s="103"/>
      <c r="AE6" s="107"/>
    </row>
    <row r="7" spans="1:49" ht="15" customHeight="1" x14ac:dyDescent="0.2">
      <c r="B7" s="102"/>
      <c r="C7" s="103"/>
      <c r="D7" s="338" t="s">
        <v>424</v>
      </c>
      <c r="E7" s="103"/>
      <c r="F7" s="103"/>
      <c r="G7" s="103"/>
      <c r="H7" s="103"/>
      <c r="I7" s="103"/>
      <c r="J7" s="103"/>
      <c r="K7" s="103"/>
      <c r="L7" s="103"/>
      <c r="M7" s="103"/>
      <c r="N7" s="103"/>
      <c r="O7" s="103"/>
      <c r="P7" s="103"/>
      <c r="Q7" s="103"/>
      <c r="R7" s="103"/>
      <c r="S7" s="103"/>
      <c r="T7" s="136"/>
      <c r="U7" s="103"/>
      <c r="V7" s="103"/>
      <c r="W7" s="103"/>
      <c r="X7" s="103"/>
      <c r="Y7" s="103"/>
      <c r="Z7" s="103"/>
      <c r="AA7" s="103"/>
      <c r="AB7" s="103"/>
      <c r="AC7" s="103"/>
      <c r="AD7" s="103"/>
      <c r="AE7" s="107"/>
    </row>
    <row r="8" spans="1:49" ht="15" customHeight="1" x14ac:dyDescent="0.2">
      <c r="B8" s="102"/>
      <c r="C8" s="103"/>
      <c r="D8" s="187" t="s">
        <v>405</v>
      </c>
      <c r="E8" s="190"/>
      <c r="F8" s="190"/>
      <c r="G8" s="190"/>
      <c r="H8" s="190"/>
      <c r="I8" s="190"/>
      <c r="J8" s="190"/>
      <c r="K8" s="190"/>
      <c r="L8" s="190"/>
      <c r="M8" s="190"/>
      <c r="N8" s="190"/>
      <c r="O8" s="190"/>
      <c r="P8" s="190"/>
      <c r="Q8" s="190"/>
      <c r="R8" s="190"/>
      <c r="S8" s="190"/>
      <c r="T8" s="194"/>
      <c r="U8" s="103"/>
      <c r="V8" s="103"/>
      <c r="W8" s="103"/>
      <c r="X8" s="103"/>
      <c r="Y8" s="103"/>
      <c r="Z8" s="103"/>
      <c r="AA8" s="103"/>
      <c r="AB8" s="103"/>
      <c r="AC8" s="103"/>
      <c r="AD8" s="103"/>
      <c r="AE8" s="107"/>
    </row>
    <row r="9" spans="1:49" ht="15" customHeight="1" x14ac:dyDescent="0.2">
      <c r="B9" s="102"/>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7"/>
    </row>
    <row r="10" spans="1:49" ht="15" customHeight="1" x14ac:dyDescent="0.2">
      <c r="B10" s="102"/>
      <c r="C10" s="113"/>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5"/>
      <c r="AE10" s="107"/>
    </row>
    <row r="11" spans="1:49" ht="15" customHeight="1" x14ac:dyDescent="0.2">
      <c r="B11" s="102"/>
      <c r="C11" s="116"/>
      <c r="D11" s="117"/>
      <c r="E11" s="117"/>
      <c r="F11" s="477" t="s">
        <v>450</v>
      </c>
      <c r="G11" s="478"/>
      <c r="H11" s="479"/>
      <c r="I11" s="118"/>
      <c r="J11" s="117"/>
      <c r="K11" s="477" t="s">
        <v>451</v>
      </c>
      <c r="L11" s="478"/>
      <c r="M11" s="479"/>
      <c r="N11" s="118"/>
      <c r="O11" s="477" t="s">
        <v>452</v>
      </c>
      <c r="P11" s="478"/>
      <c r="Q11" s="479"/>
      <c r="R11" s="118"/>
      <c r="S11" s="477" t="s">
        <v>453</v>
      </c>
      <c r="T11" s="478"/>
      <c r="U11" s="479"/>
      <c r="V11" s="118"/>
      <c r="W11" s="477" t="s">
        <v>454</v>
      </c>
      <c r="X11" s="478"/>
      <c r="Y11" s="479"/>
      <c r="Z11" s="118"/>
      <c r="AA11" s="477" t="s">
        <v>455</v>
      </c>
      <c r="AB11" s="478"/>
      <c r="AC11" s="479"/>
      <c r="AD11" s="119"/>
      <c r="AE11" s="120"/>
      <c r="AF11" s="121"/>
      <c r="AG11" s="121"/>
      <c r="AH11" s="121"/>
      <c r="AI11" s="121"/>
      <c r="AJ11" s="121"/>
    </row>
    <row r="12" spans="1:49" ht="30" customHeight="1" x14ac:dyDescent="0.2">
      <c r="B12" s="102"/>
      <c r="C12" s="116"/>
      <c r="D12" s="117"/>
      <c r="E12" s="117"/>
      <c r="F12" s="122" t="s">
        <v>78</v>
      </c>
      <c r="G12" s="123" t="s">
        <v>403</v>
      </c>
      <c r="H12" s="124" t="s">
        <v>80</v>
      </c>
      <c r="I12" s="125"/>
      <c r="J12" s="117"/>
      <c r="K12" s="122" t="s">
        <v>78</v>
      </c>
      <c r="L12" s="123" t="s">
        <v>79</v>
      </c>
      <c r="M12" s="124" t="s">
        <v>80</v>
      </c>
      <c r="N12" s="125"/>
      <c r="O12" s="122" t="s">
        <v>78</v>
      </c>
      <c r="P12" s="122" t="s">
        <v>79</v>
      </c>
      <c r="Q12" s="122" t="s">
        <v>80</v>
      </c>
      <c r="R12" s="125"/>
      <c r="S12" s="122" t="s">
        <v>78</v>
      </c>
      <c r="T12" s="122" t="s">
        <v>79</v>
      </c>
      <c r="U12" s="122" t="s">
        <v>80</v>
      </c>
      <c r="V12" s="125"/>
      <c r="W12" s="122" t="s">
        <v>78</v>
      </c>
      <c r="X12" s="122" t="s">
        <v>79</v>
      </c>
      <c r="Y12" s="122" t="s">
        <v>80</v>
      </c>
      <c r="Z12" s="125"/>
      <c r="AA12" s="122" t="s">
        <v>78</v>
      </c>
      <c r="AB12" s="122" t="s">
        <v>79</v>
      </c>
      <c r="AC12" s="122" t="s">
        <v>80</v>
      </c>
      <c r="AD12" s="119"/>
      <c r="AE12" s="120"/>
      <c r="AF12" s="121"/>
      <c r="AG12" s="121"/>
      <c r="AH12" s="121"/>
      <c r="AI12" s="121"/>
      <c r="AJ12" s="121"/>
    </row>
    <row r="13" spans="1:49" ht="15" customHeight="1" x14ac:dyDescent="0.2">
      <c r="B13" s="102"/>
      <c r="C13" s="116"/>
      <c r="D13" s="126" t="s">
        <v>54</v>
      </c>
      <c r="E13" s="127"/>
      <c r="F13" s="128"/>
      <c r="G13" s="129"/>
      <c r="H13" s="130"/>
      <c r="I13" s="131"/>
      <c r="J13" s="127"/>
      <c r="K13" s="128"/>
      <c r="L13" s="129"/>
      <c r="M13" s="130"/>
      <c r="N13" s="131"/>
      <c r="O13" s="132"/>
      <c r="P13" s="133"/>
      <c r="Q13" s="134"/>
      <c r="R13" s="135"/>
      <c r="S13" s="132"/>
      <c r="T13" s="133"/>
      <c r="U13" s="134"/>
      <c r="V13" s="135"/>
      <c r="W13" s="132"/>
      <c r="X13" s="133"/>
      <c r="Y13" s="134"/>
      <c r="Z13" s="135"/>
      <c r="AA13" s="132"/>
      <c r="AB13" s="133"/>
      <c r="AC13" s="134"/>
      <c r="AD13" s="136"/>
      <c r="AE13" s="107"/>
      <c r="AK13" s="101"/>
      <c r="AL13" s="101"/>
      <c r="AM13" s="101"/>
      <c r="AN13" s="101"/>
      <c r="AO13" s="101"/>
      <c r="AP13" s="101"/>
      <c r="AQ13" s="101"/>
      <c r="AR13" s="101"/>
      <c r="AS13" s="101"/>
      <c r="AT13" s="101"/>
      <c r="AU13" s="101"/>
      <c r="AV13" s="101"/>
      <c r="AW13" s="101"/>
    </row>
    <row r="14" spans="1:49" ht="15" customHeight="1" x14ac:dyDescent="0.2">
      <c r="B14" s="102"/>
      <c r="C14" s="116"/>
      <c r="D14" s="16" t="s">
        <v>438</v>
      </c>
      <c r="E14" s="103"/>
      <c r="F14" s="399">
        <v>10</v>
      </c>
      <c r="G14" s="17">
        <v>45000</v>
      </c>
      <c r="H14" s="137">
        <f>F14*G14</f>
        <v>450000</v>
      </c>
      <c r="I14" s="138"/>
      <c r="J14" s="103"/>
      <c r="K14" s="399">
        <v>10</v>
      </c>
      <c r="L14" s="17">
        <v>46350</v>
      </c>
      <c r="M14" s="137">
        <f>K14*L14</f>
        <v>463500</v>
      </c>
      <c r="N14" s="138"/>
      <c r="O14" s="399">
        <f>K14</f>
        <v>10</v>
      </c>
      <c r="P14" s="17">
        <f>L14*1.03</f>
        <v>47740.5</v>
      </c>
      <c r="Q14" s="137">
        <f>O14*P14</f>
        <v>477405</v>
      </c>
      <c r="R14" s="138"/>
      <c r="S14" s="399">
        <f>O14</f>
        <v>10</v>
      </c>
      <c r="T14" s="17">
        <f>P14*1.03</f>
        <v>49172.715000000004</v>
      </c>
      <c r="U14" s="137">
        <f>S14*T14</f>
        <v>491727.15</v>
      </c>
      <c r="V14" s="138"/>
      <c r="W14" s="399">
        <f>S14+1</f>
        <v>11</v>
      </c>
      <c r="X14" s="17">
        <v>50725.36</v>
      </c>
      <c r="Y14" s="137">
        <f>W14*X14</f>
        <v>557978.96</v>
      </c>
      <c r="Z14" s="138"/>
      <c r="AA14" s="399">
        <f>W14</f>
        <v>11</v>
      </c>
      <c r="AB14" s="17">
        <f>X14*1.03</f>
        <v>52247.120800000004</v>
      </c>
      <c r="AC14" s="137">
        <f>AA14*AB14</f>
        <v>574718.32880000002</v>
      </c>
      <c r="AD14" s="139"/>
      <c r="AE14" s="110"/>
      <c r="AF14" s="111"/>
      <c r="AG14" s="111"/>
      <c r="AH14" s="111"/>
      <c r="AI14" s="111"/>
      <c r="AJ14" s="111"/>
    </row>
    <row r="15" spans="1:49" ht="15" customHeight="1" x14ac:dyDescent="0.2">
      <c r="B15" s="102"/>
      <c r="C15" s="116"/>
      <c r="D15" s="18" t="s">
        <v>439</v>
      </c>
      <c r="E15" s="103"/>
      <c r="F15" s="399">
        <v>2</v>
      </c>
      <c r="G15" s="17">
        <v>25000</v>
      </c>
      <c r="H15" s="137">
        <f t="shared" ref="H15:H28" si="0">F15*G15</f>
        <v>50000</v>
      </c>
      <c r="I15" s="138"/>
      <c r="J15" s="103"/>
      <c r="K15" s="399">
        <v>0</v>
      </c>
      <c r="L15" s="17">
        <v>25000</v>
      </c>
      <c r="M15" s="137">
        <f t="shared" ref="M15:M28" si="1">K15*L15</f>
        <v>0</v>
      </c>
      <c r="N15" s="138"/>
      <c r="O15" s="399">
        <v>0</v>
      </c>
      <c r="P15" s="17">
        <f>L15*1.03</f>
        <v>25750</v>
      </c>
      <c r="Q15" s="137">
        <f t="shared" ref="Q15:Q28" si="2">O15*P15</f>
        <v>0</v>
      </c>
      <c r="R15" s="138"/>
      <c r="S15" s="399">
        <f>O15</f>
        <v>0</v>
      </c>
      <c r="T15" s="17">
        <f>P15*1.03</f>
        <v>26522.5</v>
      </c>
      <c r="U15" s="137">
        <f t="shared" ref="U15:U28" si="3">S15*T15</f>
        <v>0</v>
      </c>
      <c r="V15" s="138"/>
      <c r="W15" s="399">
        <f>S15</f>
        <v>0</v>
      </c>
      <c r="X15" s="17">
        <f>T15*1.03</f>
        <v>27318.174999999999</v>
      </c>
      <c r="Y15" s="137">
        <f t="shared" ref="Y15:Y28" si="4">W15*X15</f>
        <v>0</v>
      </c>
      <c r="Z15" s="138"/>
      <c r="AA15" s="399">
        <f>W15</f>
        <v>0</v>
      </c>
      <c r="AB15" s="17">
        <f>X15*1.03</f>
        <v>28137.720249999998</v>
      </c>
      <c r="AC15" s="137">
        <f t="shared" ref="AC15:AC28" si="5">AA15*AB15</f>
        <v>0</v>
      </c>
      <c r="AD15" s="139"/>
      <c r="AE15" s="110"/>
      <c r="AF15" s="111"/>
      <c r="AG15" s="111"/>
      <c r="AH15" s="111"/>
      <c r="AI15" s="111"/>
      <c r="AJ15" s="111"/>
    </row>
    <row r="16" spans="1:49" ht="15" customHeight="1" x14ac:dyDescent="0.2">
      <c r="B16" s="102"/>
      <c r="C16" s="116"/>
      <c r="D16" s="18" t="s">
        <v>444</v>
      </c>
      <c r="E16" s="103"/>
      <c r="F16" s="399">
        <v>1.5</v>
      </c>
      <c r="G16" s="17">
        <v>50000</v>
      </c>
      <c r="H16" s="137">
        <f t="shared" si="0"/>
        <v>75000</v>
      </c>
      <c r="I16" s="138"/>
      <c r="J16" s="103"/>
      <c r="K16" s="399">
        <v>1</v>
      </c>
      <c r="L16" s="17">
        <v>49000</v>
      </c>
      <c r="M16" s="137">
        <f t="shared" si="1"/>
        <v>49000</v>
      </c>
      <c r="N16" s="138"/>
      <c r="O16" s="399">
        <v>1</v>
      </c>
      <c r="P16" s="17">
        <f>L16*1.03</f>
        <v>50470</v>
      </c>
      <c r="Q16" s="137">
        <f t="shared" si="2"/>
        <v>50470</v>
      </c>
      <c r="R16" s="138"/>
      <c r="S16" s="399">
        <v>1</v>
      </c>
      <c r="T16" s="17">
        <f>P16*1.03</f>
        <v>51984.1</v>
      </c>
      <c r="U16" s="137">
        <f t="shared" si="3"/>
        <v>51984.1</v>
      </c>
      <c r="V16" s="138"/>
      <c r="W16" s="399">
        <v>1</v>
      </c>
      <c r="X16" s="17">
        <f>T16*1.03</f>
        <v>53543.623</v>
      </c>
      <c r="Y16" s="137">
        <f t="shared" si="4"/>
        <v>53543.623</v>
      </c>
      <c r="Z16" s="138"/>
      <c r="AA16" s="399">
        <v>1</v>
      </c>
      <c r="AB16" s="17">
        <f>X16*1.03</f>
        <v>55149.931689999998</v>
      </c>
      <c r="AC16" s="137">
        <f t="shared" si="5"/>
        <v>55149.931689999998</v>
      </c>
      <c r="AD16" s="139"/>
      <c r="AE16" s="110"/>
      <c r="AF16" s="111"/>
      <c r="AG16" s="111"/>
      <c r="AH16" s="111"/>
      <c r="AI16" s="111"/>
      <c r="AJ16" s="111"/>
    </row>
    <row r="17" spans="2:36" ht="15" customHeight="1" x14ac:dyDescent="0.2">
      <c r="B17" s="102"/>
      <c r="C17" s="116"/>
      <c r="D17" s="18"/>
      <c r="E17" s="103"/>
      <c r="F17" s="399"/>
      <c r="G17" s="17">
        <v>0</v>
      </c>
      <c r="H17" s="137">
        <f t="shared" si="0"/>
        <v>0</v>
      </c>
      <c r="I17" s="138"/>
      <c r="J17" s="103"/>
      <c r="K17" s="399"/>
      <c r="L17" s="17">
        <v>0</v>
      </c>
      <c r="M17" s="137">
        <f t="shared" si="1"/>
        <v>0</v>
      </c>
      <c r="N17" s="138"/>
      <c r="O17" s="399"/>
      <c r="P17" s="17">
        <v>0</v>
      </c>
      <c r="Q17" s="137">
        <f t="shared" si="2"/>
        <v>0</v>
      </c>
      <c r="R17" s="138"/>
      <c r="S17" s="399"/>
      <c r="T17" s="17">
        <v>0</v>
      </c>
      <c r="U17" s="137">
        <f t="shared" si="3"/>
        <v>0</v>
      </c>
      <c r="V17" s="138"/>
      <c r="W17" s="399"/>
      <c r="X17" s="17">
        <v>0</v>
      </c>
      <c r="Y17" s="137">
        <f t="shared" si="4"/>
        <v>0</v>
      </c>
      <c r="Z17" s="138"/>
      <c r="AA17" s="399"/>
      <c r="AB17" s="17">
        <v>0</v>
      </c>
      <c r="AC17" s="137">
        <f t="shared" si="5"/>
        <v>0</v>
      </c>
      <c r="AD17" s="136"/>
      <c r="AE17" s="107"/>
    </row>
    <row r="18" spans="2:36" ht="15" customHeight="1" x14ac:dyDescent="0.2">
      <c r="B18" s="102"/>
      <c r="C18" s="116"/>
      <c r="D18" s="18"/>
      <c r="E18" s="103"/>
      <c r="F18" s="399"/>
      <c r="G18" s="17">
        <v>0</v>
      </c>
      <c r="H18" s="137">
        <f t="shared" si="0"/>
        <v>0</v>
      </c>
      <c r="I18" s="138"/>
      <c r="J18" s="103"/>
      <c r="K18" s="399"/>
      <c r="L18" s="17">
        <v>0</v>
      </c>
      <c r="M18" s="137">
        <f t="shared" si="1"/>
        <v>0</v>
      </c>
      <c r="N18" s="138"/>
      <c r="O18" s="399"/>
      <c r="P18" s="17">
        <v>0</v>
      </c>
      <c r="Q18" s="137">
        <f t="shared" si="2"/>
        <v>0</v>
      </c>
      <c r="R18" s="138"/>
      <c r="S18" s="399"/>
      <c r="T18" s="17">
        <v>0</v>
      </c>
      <c r="U18" s="137">
        <f t="shared" si="3"/>
        <v>0</v>
      </c>
      <c r="V18" s="138"/>
      <c r="W18" s="399"/>
      <c r="X18" s="17">
        <v>0</v>
      </c>
      <c r="Y18" s="137">
        <f t="shared" si="4"/>
        <v>0</v>
      </c>
      <c r="Z18" s="138"/>
      <c r="AA18" s="399"/>
      <c r="AB18" s="17">
        <v>0</v>
      </c>
      <c r="AC18" s="137">
        <f t="shared" si="5"/>
        <v>0</v>
      </c>
      <c r="AD18" s="136"/>
      <c r="AE18" s="107"/>
    </row>
    <row r="19" spans="2:36" ht="15" customHeight="1" x14ac:dyDescent="0.2">
      <c r="B19" s="102"/>
      <c r="C19" s="116"/>
      <c r="D19" s="18"/>
      <c r="E19" s="103"/>
      <c r="F19" s="399"/>
      <c r="G19" s="17">
        <v>0</v>
      </c>
      <c r="H19" s="137">
        <f t="shared" si="0"/>
        <v>0</v>
      </c>
      <c r="I19" s="138"/>
      <c r="J19" s="103"/>
      <c r="K19" s="399"/>
      <c r="L19" s="17">
        <v>0</v>
      </c>
      <c r="M19" s="137">
        <f t="shared" si="1"/>
        <v>0</v>
      </c>
      <c r="N19" s="138"/>
      <c r="O19" s="399"/>
      <c r="P19" s="17">
        <v>0</v>
      </c>
      <c r="Q19" s="137">
        <f t="shared" si="2"/>
        <v>0</v>
      </c>
      <c r="R19" s="138"/>
      <c r="S19" s="399"/>
      <c r="T19" s="17">
        <v>0</v>
      </c>
      <c r="U19" s="137">
        <f t="shared" si="3"/>
        <v>0</v>
      </c>
      <c r="V19" s="138"/>
      <c r="W19" s="399"/>
      <c r="X19" s="17">
        <v>0</v>
      </c>
      <c r="Y19" s="137">
        <f t="shared" si="4"/>
        <v>0</v>
      </c>
      <c r="Z19" s="138"/>
      <c r="AA19" s="399"/>
      <c r="AB19" s="17">
        <v>0</v>
      </c>
      <c r="AC19" s="137">
        <f t="shared" si="5"/>
        <v>0</v>
      </c>
      <c r="AD19" s="136"/>
      <c r="AE19" s="107"/>
    </row>
    <row r="20" spans="2:36" ht="15" customHeight="1" x14ac:dyDescent="0.2">
      <c r="B20" s="102"/>
      <c r="C20" s="116"/>
      <c r="D20" s="18"/>
      <c r="E20" s="103"/>
      <c r="F20" s="399"/>
      <c r="G20" s="17">
        <v>0</v>
      </c>
      <c r="H20" s="137">
        <f t="shared" si="0"/>
        <v>0</v>
      </c>
      <c r="I20" s="138"/>
      <c r="J20" s="103"/>
      <c r="K20" s="399"/>
      <c r="L20" s="17">
        <v>0</v>
      </c>
      <c r="M20" s="137">
        <f t="shared" si="1"/>
        <v>0</v>
      </c>
      <c r="N20" s="138"/>
      <c r="O20" s="399"/>
      <c r="P20" s="17">
        <v>0</v>
      </c>
      <c r="Q20" s="137">
        <f t="shared" si="2"/>
        <v>0</v>
      </c>
      <c r="R20" s="138"/>
      <c r="S20" s="399"/>
      <c r="T20" s="17">
        <v>0</v>
      </c>
      <c r="U20" s="137">
        <f t="shared" si="3"/>
        <v>0</v>
      </c>
      <c r="V20" s="138"/>
      <c r="W20" s="399"/>
      <c r="X20" s="17">
        <v>0</v>
      </c>
      <c r="Y20" s="137">
        <f t="shared" si="4"/>
        <v>0</v>
      </c>
      <c r="Z20" s="138"/>
      <c r="AA20" s="399"/>
      <c r="AB20" s="17">
        <v>0</v>
      </c>
      <c r="AC20" s="137">
        <f t="shared" si="5"/>
        <v>0</v>
      </c>
      <c r="AD20" s="136"/>
      <c r="AE20" s="107"/>
    </row>
    <row r="21" spans="2:36" ht="15" customHeight="1" x14ac:dyDescent="0.2">
      <c r="B21" s="102"/>
      <c r="C21" s="116"/>
      <c r="D21" s="18"/>
      <c r="E21" s="103"/>
      <c r="F21" s="399"/>
      <c r="G21" s="17">
        <v>0</v>
      </c>
      <c r="H21" s="137">
        <f t="shared" si="0"/>
        <v>0</v>
      </c>
      <c r="I21" s="138"/>
      <c r="J21" s="103"/>
      <c r="K21" s="399"/>
      <c r="L21" s="17">
        <v>0</v>
      </c>
      <c r="M21" s="137">
        <f t="shared" si="1"/>
        <v>0</v>
      </c>
      <c r="N21" s="138"/>
      <c r="O21" s="399"/>
      <c r="P21" s="17">
        <v>0</v>
      </c>
      <c r="Q21" s="137">
        <f t="shared" ref="Q21:Q26" si="6">O21*P21</f>
        <v>0</v>
      </c>
      <c r="R21" s="138"/>
      <c r="S21" s="399"/>
      <c r="T21" s="17">
        <v>0</v>
      </c>
      <c r="U21" s="137">
        <f t="shared" ref="U21:U26" si="7">S21*T21</f>
        <v>0</v>
      </c>
      <c r="V21" s="138"/>
      <c r="W21" s="399"/>
      <c r="X21" s="17">
        <v>0</v>
      </c>
      <c r="Y21" s="137">
        <f t="shared" ref="Y21:Y26" si="8">W21*X21</f>
        <v>0</v>
      </c>
      <c r="Z21" s="138"/>
      <c r="AA21" s="399"/>
      <c r="AB21" s="17">
        <v>0</v>
      </c>
      <c r="AC21" s="137">
        <f t="shared" ref="AC21:AC26" si="9">AA21*AB21</f>
        <v>0</v>
      </c>
      <c r="AD21" s="136"/>
      <c r="AE21" s="107"/>
    </row>
    <row r="22" spans="2:36" ht="15" customHeight="1" x14ac:dyDescent="0.2">
      <c r="B22" s="102"/>
      <c r="C22" s="116"/>
      <c r="D22" s="18"/>
      <c r="E22" s="103"/>
      <c r="F22" s="399"/>
      <c r="G22" s="17">
        <v>0</v>
      </c>
      <c r="H22" s="137">
        <f t="shared" si="0"/>
        <v>0</v>
      </c>
      <c r="I22" s="138"/>
      <c r="J22" s="103"/>
      <c r="K22" s="399"/>
      <c r="L22" s="17">
        <v>0</v>
      </c>
      <c r="M22" s="137">
        <f t="shared" si="1"/>
        <v>0</v>
      </c>
      <c r="N22" s="138"/>
      <c r="O22" s="399"/>
      <c r="P22" s="17">
        <v>0</v>
      </c>
      <c r="Q22" s="137">
        <f t="shared" si="6"/>
        <v>0</v>
      </c>
      <c r="R22" s="138"/>
      <c r="S22" s="399"/>
      <c r="T22" s="17">
        <v>0</v>
      </c>
      <c r="U22" s="137">
        <f t="shared" si="7"/>
        <v>0</v>
      </c>
      <c r="V22" s="138"/>
      <c r="W22" s="399"/>
      <c r="X22" s="17">
        <v>0</v>
      </c>
      <c r="Y22" s="137">
        <f t="shared" si="8"/>
        <v>0</v>
      </c>
      <c r="Z22" s="138"/>
      <c r="AA22" s="399"/>
      <c r="AB22" s="17">
        <v>0</v>
      </c>
      <c r="AC22" s="137">
        <f t="shared" si="9"/>
        <v>0</v>
      </c>
      <c r="AD22" s="136"/>
      <c r="AE22" s="107"/>
    </row>
    <row r="23" spans="2:36" ht="15" customHeight="1" x14ac:dyDescent="0.2">
      <c r="B23" s="102"/>
      <c r="C23" s="116"/>
      <c r="D23" s="18"/>
      <c r="E23" s="103"/>
      <c r="F23" s="399"/>
      <c r="G23" s="17">
        <v>0</v>
      </c>
      <c r="H23" s="137">
        <f t="shared" si="0"/>
        <v>0</v>
      </c>
      <c r="I23" s="138"/>
      <c r="J23" s="103"/>
      <c r="K23" s="399"/>
      <c r="L23" s="17">
        <v>0</v>
      </c>
      <c r="M23" s="137">
        <f t="shared" si="1"/>
        <v>0</v>
      </c>
      <c r="N23" s="138"/>
      <c r="O23" s="399"/>
      <c r="P23" s="17">
        <v>0</v>
      </c>
      <c r="Q23" s="137">
        <f t="shared" si="6"/>
        <v>0</v>
      </c>
      <c r="R23" s="138"/>
      <c r="S23" s="399"/>
      <c r="T23" s="17">
        <v>0</v>
      </c>
      <c r="U23" s="137">
        <f t="shared" si="7"/>
        <v>0</v>
      </c>
      <c r="V23" s="138"/>
      <c r="W23" s="399"/>
      <c r="X23" s="17">
        <v>0</v>
      </c>
      <c r="Y23" s="137">
        <f t="shared" si="8"/>
        <v>0</v>
      </c>
      <c r="Z23" s="138"/>
      <c r="AA23" s="399"/>
      <c r="AB23" s="17">
        <v>0</v>
      </c>
      <c r="AC23" s="137">
        <f t="shared" si="9"/>
        <v>0</v>
      </c>
      <c r="AD23" s="136"/>
      <c r="AE23" s="107"/>
    </row>
    <row r="24" spans="2:36" ht="15" customHeight="1" x14ac:dyDescent="0.2">
      <c r="B24" s="102"/>
      <c r="C24" s="116"/>
      <c r="D24" s="18"/>
      <c r="E24" s="103"/>
      <c r="F24" s="399"/>
      <c r="G24" s="17">
        <v>0</v>
      </c>
      <c r="H24" s="137">
        <f t="shared" si="0"/>
        <v>0</v>
      </c>
      <c r="I24" s="138"/>
      <c r="J24" s="103"/>
      <c r="K24" s="399"/>
      <c r="L24" s="17">
        <v>0</v>
      </c>
      <c r="M24" s="137">
        <f t="shared" si="1"/>
        <v>0</v>
      </c>
      <c r="N24" s="138"/>
      <c r="O24" s="399"/>
      <c r="P24" s="17">
        <v>0</v>
      </c>
      <c r="Q24" s="137">
        <f t="shared" si="6"/>
        <v>0</v>
      </c>
      <c r="R24" s="138"/>
      <c r="S24" s="399"/>
      <c r="T24" s="17">
        <v>0</v>
      </c>
      <c r="U24" s="137">
        <f t="shared" si="7"/>
        <v>0</v>
      </c>
      <c r="V24" s="138"/>
      <c r="W24" s="399"/>
      <c r="X24" s="17">
        <v>0</v>
      </c>
      <c r="Y24" s="137">
        <f t="shared" si="8"/>
        <v>0</v>
      </c>
      <c r="Z24" s="138"/>
      <c r="AA24" s="399"/>
      <c r="AB24" s="17">
        <v>0</v>
      </c>
      <c r="AC24" s="137">
        <f t="shared" si="9"/>
        <v>0</v>
      </c>
      <c r="AD24" s="136"/>
      <c r="AE24" s="107"/>
    </row>
    <row r="25" spans="2:36" ht="15" customHeight="1" x14ac:dyDescent="0.2">
      <c r="B25" s="102"/>
      <c r="C25" s="116"/>
      <c r="D25" s="18"/>
      <c r="E25" s="103"/>
      <c r="F25" s="399"/>
      <c r="G25" s="17">
        <v>0</v>
      </c>
      <c r="H25" s="137">
        <f t="shared" si="0"/>
        <v>0</v>
      </c>
      <c r="I25" s="138"/>
      <c r="J25" s="103"/>
      <c r="K25" s="399"/>
      <c r="L25" s="17">
        <v>0</v>
      </c>
      <c r="M25" s="137">
        <f t="shared" si="1"/>
        <v>0</v>
      </c>
      <c r="N25" s="138"/>
      <c r="O25" s="399"/>
      <c r="P25" s="17">
        <v>0</v>
      </c>
      <c r="Q25" s="137">
        <f t="shared" si="6"/>
        <v>0</v>
      </c>
      <c r="R25" s="138"/>
      <c r="S25" s="399"/>
      <c r="T25" s="17">
        <v>0</v>
      </c>
      <c r="U25" s="137">
        <f t="shared" si="7"/>
        <v>0</v>
      </c>
      <c r="V25" s="138"/>
      <c r="W25" s="399"/>
      <c r="X25" s="17">
        <v>0</v>
      </c>
      <c r="Y25" s="137">
        <f t="shared" si="8"/>
        <v>0</v>
      </c>
      <c r="Z25" s="138"/>
      <c r="AA25" s="399"/>
      <c r="AB25" s="17">
        <v>0</v>
      </c>
      <c r="AC25" s="137">
        <f t="shared" si="9"/>
        <v>0</v>
      </c>
      <c r="AD25" s="136"/>
      <c r="AE25" s="107"/>
    </row>
    <row r="26" spans="2:36" ht="15" customHeight="1" x14ac:dyDescent="0.2">
      <c r="B26" s="102"/>
      <c r="C26" s="116"/>
      <c r="D26" s="18"/>
      <c r="E26" s="103"/>
      <c r="F26" s="399"/>
      <c r="G26" s="17">
        <v>0</v>
      </c>
      <c r="H26" s="137">
        <f t="shared" si="0"/>
        <v>0</v>
      </c>
      <c r="I26" s="138"/>
      <c r="J26" s="103"/>
      <c r="K26" s="399"/>
      <c r="L26" s="17">
        <v>0</v>
      </c>
      <c r="M26" s="137">
        <f t="shared" si="1"/>
        <v>0</v>
      </c>
      <c r="N26" s="138"/>
      <c r="O26" s="399"/>
      <c r="P26" s="17">
        <v>0</v>
      </c>
      <c r="Q26" s="137">
        <f t="shared" si="6"/>
        <v>0</v>
      </c>
      <c r="R26" s="138"/>
      <c r="S26" s="399"/>
      <c r="T26" s="17">
        <v>0</v>
      </c>
      <c r="U26" s="137">
        <f t="shared" si="7"/>
        <v>0</v>
      </c>
      <c r="V26" s="138"/>
      <c r="W26" s="399"/>
      <c r="X26" s="17">
        <v>0</v>
      </c>
      <c r="Y26" s="137">
        <f t="shared" si="8"/>
        <v>0</v>
      </c>
      <c r="Z26" s="138"/>
      <c r="AA26" s="399"/>
      <c r="AB26" s="17">
        <v>0</v>
      </c>
      <c r="AC26" s="137">
        <f t="shared" si="9"/>
        <v>0</v>
      </c>
      <c r="AD26" s="136"/>
      <c r="AE26" s="107"/>
    </row>
    <row r="27" spans="2:36" ht="15" customHeight="1" x14ac:dyDescent="0.2">
      <c r="B27" s="102"/>
      <c r="C27" s="116"/>
      <c r="D27" s="18"/>
      <c r="E27" s="103"/>
      <c r="F27" s="399"/>
      <c r="G27" s="17">
        <v>0</v>
      </c>
      <c r="H27" s="137">
        <f t="shared" si="0"/>
        <v>0</v>
      </c>
      <c r="I27" s="138"/>
      <c r="J27" s="103"/>
      <c r="K27" s="399"/>
      <c r="L27" s="17">
        <v>0</v>
      </c>
      <c r="M27" s="137">
        <f t="shared" si="1"/>
        <v>0</v>
      </c>
      <c r="N27" s="138"/>
      <c r="O27" s="399"/>
      <c r="P27" s="17">
        <v>0</v>
      </c>
      <c r="Q27" s="137">
        <f t="shared" si="2"/>
        <v>0</v>
      </c>
      <c r="R27" s="138"/>
      <c r="S27" s="399"/>
      <c r="T27" s="17">
        <v>0</v>
      </c>
      <c r="U27" s="137">
        <f t="shared" si="3"/>
        <v>0</v>
      </c>
      <c r="V27" s="138"/>
      <c r="W27" s="399"/>
      <c r="X27" s="17">
        <v>0</v>
      </c>
      <c r="Y27" s="137">
        <f t="shared" si="4"/>
        <v>0</v>
      </c>
      <c r="Z27" s="138"/>
      <c r="AA27" s="399"/>
      <c r="AB27" s="17">
        <v>0</v>
      </c>
      <c r="AC27" s="137">
        <f t="shared" si="5"/>
        <v>0</v>
      </c>
      <c r="AD27" s="136"/>
      <c r="AE27" s="107"/>
    </row>
    <row r="28" spans="2:36" ht="15" customHeight="1" x14ac:dyDescent="0.2">
      <c r="B28" s="102"/>
      <c r="C28" s="116"/>
      <c r="D28" s="19"/>
      <c r="E28" s="140"/>
      <c r="F28" s="399"/>
      <c r="G28" s="17">
        <v>0</v>
      </c>
      <c r="H28" s="137">
        <f t="shared" si="0"/>
        <v>0</v>
      </c>
      <c r="I28" s="138"/>
      <c r="J28" s="140"/>
      <c r="K28" s="399"/>
      <c r="L28" s="17">
        <v>0</v>
      </c>
      <c r="M28" s="137">
        <f t="shared" si="1"/>
        <v>0</v>
      </c>
      <c r="N28" s="138"/>
      <c r="O28" s="399"/>
      <c r="P28" s="17">
        <v>0</v>
      </c>
      <c r="Q28" s="137">
        <f t="shared" si="2"/>
        <v>0</v>
      </c>
      <c r="R28" s="138"/>
      <c r="S28" s="399"/>
      <c r="T28" s="17">
        <v>0</v>
      </c>
      <c r="U28" s="137">
        <f t="shared" si="3"/>
        <v>0</v>
      </c>
      <c r="V28" s="138"/>
      <c r="W28" s="399"/>
      <c r="X28" s="17">
        <v>0</v>
      </c>
      <c r="Y28" s="137">
        <f t="shared" si="4"/>
        <v>0</v>
      </c>
      <c r="Z28" s="138"/>
      <c r="AA28" s="399"/>
      <c r="AB28" s="17">
        <v>0</v>
      </c>
      <c r="AC28" s="137">
        <f t="shared" si="5"/>
        <v>0</v>
      </c>
      <c r="AD28" s="136"/>
      <c r="AE28" s="107" t="s">
        <v>2</v>
      </c>
    </row>
    <row r="29" spans="2:36" ht="15" customHeight="1" x14ac:dyDescent="0.2">
      <c r="B29" s="102"/>
      <c r="C29" s="116"/>
      <c r="D29" s="141" t="s">
        <v>29</v>
      </c>
      <c r="E29" s="104"/>
      <c r="F29" s="142">
        <f>SUM(F14:F28)</f>
        <v>13.5</v>
      </c>
      <c r="G29" s="143"/>
      <c r="H29" s="144">
        <f>SUM(H14:H28)</f>
        <v>575000</v>
      </c>
      <c r="I29" s="145"/>
      <c r="J29" s="104"/>
      <c r="K29" s="142">
        <f>SUM(K14:K28)</f>
        <v>11</v>
      </c>
      <c r="L29" s="143"/>
      <c r="M29" s="144">
        <f>SUM(M14:M28)</f>
        <v>512500</v>
      </c>
      <c r="N29" s="145"/>
      <c r="O29" s="142">
        <f>SUM(O14:O28)</f>
        <v>11</v>
      </c>
      <c r="P29" s="143"/>
      <c r="Q29" s="144">
        <f>SUM(Q14:Q28)</f>
        <v>527875</v>
      </c>
      <c r="R29" s="145"/>
      <c r="S29" s="142">
        <f>SUM(S14:S28)</f>
        <v>11</v>
      </c>
      <c r="T29" s="143"/>
      <c r="U29" s="144">
        <f>SUM(U14:U28)</f>
        <v>543711.25</v>
      </c>
      <c r="V29" s="145"/>
      <c r="W29" s="142">
        <f>SUM(W14:W28)</f>
        <v>12</v>
      </c>
      <c r="X29" s="143"/>
      <c r="Y29" s="144">
        <f>SUM(Y14:Y28)</f>
        <v>611522.58299999998</v>
      </c>
      <c r="Z29" s="145"/>
      <c r="AA29" s="142">
        <f>SUM(AA14:AA28)</f>
        <v>12</v>
      </c>
      <c r="AB29" s="143"/>
      <c r="AC29" s="144">
        <f>SUM(AC14:AC28)</f>
        <v>629868.26049000002</v>
      </c>
      <c r="AD29" s="136"/>
      <c r="AE29" s="107"/>
    </row>
    <row r="30" spans="2:36" ht="15" customHeight="1" x14ac:dyDescent="0.2">
      <c r="B30" s="102"/>
      <c r="C30" s="116"/>
      <c r="D30" s="146"/>
      <c r="E30" s="104"/>
      <c r="F30" s="147"/>
      <c r="G30" s="148"/>
      <c r="H30" s="149"/>
      <c r="I30" s="104"/>
      <c r="J30" s="104"/>
      <c r="K30" s="147"/>
      <c r="L30" s="148"/>
      <c r="M30" s="149"/>
      <c r="N30" s="104"/>
      <c r="O30" s="147"/>
      <c r="P30" s="148"/>
      <c r="Q30" s="149"/>
      <c r="R30" s="104"/>
      <c r="S30" s="147"/>
      <c r="T30" s="148"/>
      <c r="U30" s="149"/>
      <c r="V30" s="104"/>
      <c r="W30" s="147"/>
      <c r="X30" s="148"/>
      <c r="Y30" s="149"/>
      <c r="Z30" s="104"/>
      <c r="AA30" s="147"/>
      <c r="AB30" s="148"/>
      <c r="AC30" s="149"/>
      <c r="AD30" s="136"/>
      <c r="AE30" s="107"/>
    </row>
    <row r="31" spans="2:36" ht="15" customHeight="1" x14ac:dyDescent="0.2">
      <c r="B31" s="102"/>
      <c r="C31" s="116"/>
      <c r="D31" s="126" t="s">
        <v>55</v>
      </c>
      <c r="E31" s="127"/>
      <c r="F31" s="150"/>
      <c r="G31" s="151"/>
      <c r="H31" s="152"/>
      <c r="I31" s="106"/>
      <c r="J31" s="127"/>
      <c r="K31" s="150"/>
      <c r="L31" s="151"/>
      <c r="M31" s="152"/>
      <c r="N31" s="106"/>
      <c r="O31" s="153"/>
      <c r="P31" s="154"/>
      <c r="Q31" s="155"/>
      <c r="R31" s="135"/>
      <c r="S31" s="153"/>
      <c r="T31" s="154"/>
      <c r="U31" s="155"/>
      <c r="V31" s="135"/>
      <c r="W31" s="153"/>
      <c r="X31" s="154"/>
      <c r="Y31" s="155"/>
      <c r="Z31" s="135"/>
      <c r="AA31" s="153"/>
      <c r="AB31" s="154"/>
      <c r="AC31" s="155"/>
      <c r="AD31" s="139"/>
      <c r="AE31" s="110"/>
      <c r="AF31" s="111"/>
      <c r="AG31" s="111"/>
      <c r="AH31" s="111"/>
      <c r="AI31" s="111"/>
      <c r="AJ31" s="111"/>
    </row>
    <row r="32" spans="2:36" ht="15" customHeight="1" x14ac:dyDescent="0.2">
      <c r="B32" s="102"/>
      <c r="C32" s="116"/>
      <c r="D32" s="20" t="s">
        <v>443</v>
      </c>
      <c r="E32" s="103"/>
      <c r="F32" s="399">
        <v>1</v>
      </c>
      <c r="G32" s="17">
        <v>18251</v>
      </c>
      <c r="H32" s="137">
        <f>F32*G32</f>
        <v>18251</v>
      </c>
      <c r="I32" s="138"/>
      <c r="J32" s="103"/>
      <c r="K32" s="399">
        <v>1</v>
      </c>
      <c r="L32" s="17">
        <v>18799</v>
      </c>
      <c r="M32" s="137">
        <f>K32*L32</f>
        <v>18799</v>
      </c>
      <c r="N32" s="138"/>
      <c r="O32" s="399">
        <v>1</v>
      </c>
      <c r="P32" s="17">
        <f>L32*1.03</f>
        <v>19362.97</v>
      </c>
      <c r="Q32" s="137">
        <f>O32*P32</f>
        <v>19362.97</v>
      </c>
      <c r="R32" s="156"/>
      <c r="S32" s="399">
        <v>1</v>
      </c>
      <c r="T32" s="17">
        <f>P32*1.03</f>
        <v>19943.859100000001</v>
      </c>
      <c r="U32" s="137">
        <f>S32*T32</f>
        <v>19943.859100000001</v>
      </c>
      <c r="V32" s="156"/>
      <c r="W32" s="399">
        <v>1</v>
      </c>
      <c r="X32" s="17">
        <f>T32*1.03</f>
        <v>20542.174873000004</v>
      </c>
      <c r="Y32" s="137">
        <f>W32*X32</f>
        <v>20542.174873000004</v>
      </c>
      <c r="Z32" s="156"/>
      <c r="AA32" s="399">
        <v>1</v>
      </c>
      <c r="AB32" s="17">
        <f>X32*1.03</f>
        <v>21158.440119190003</v>
      </c>
      <c r="AC32" s="137">
        <f>AA32*AB32</f>
        <v>21158.440119190003</v>
      </c>
      <c r="AD32" s="157"/>
      <c r="AE32" s="107"/>
    </row>
    <row r="33" spans="2:32" ht="15" customHeight="1" x14ac:dyDescent="0.2">
      <c r="B33" s="102"/>
      <c r="C33" s="116"/>
      <c r="D33" s="20" t="s">
        <v>440</v>
      </c>
      <c r="E33" s="103"/>
      <c r="F33" s="399">
        <v>1</v>
      </c>
      <c r="G33" s="17">
        <v>54668</v>
      </c>
      <c r="H33" s="137">
        <f t="shared" ref="H33:H46" si="10">F33*G33</f>
        <v>54668</v>
      </c>
      <c r="I33" s="138"/>
      <c r="J33" s="103"/>
      <c r="K33" s="399">
        <v>1</v>
      </c>
      <c r="L33" s="17">
        <v>56308</v>
      </c>
      <c r="M33" s="137">
        <f t="shared" ref="M33:M46" si="11">K33*L33</f>
        <v>56308</v>
      </c>
      <c r="N33" s="138"/>
      <c r="O33" s="399">
        <v>1</v>
      </c>
      <c r="P33" s="17">
        <f>L33*1.03</f>
        <v>57997.24</v>
      </c>
      <c r="Q33" s="137">
        <f t="shared" ref="Q33:Q45" si="12">O33*P33</f>
        <v>57997.24</v>
      </c>
      <c r="R33" s="156"/>
      <c r="S33" s="399">
        <v>1</v>
      </c>
      <c r="T33" s="17">
        <f>P33*1.03</f>
        <v>59737.157200000001</v>
      </c>
      <c r="U33" s="137">
        <f t="shared" ref="U33:U46" si="13">S33*T33</f>
        <v>59737.157200000001</v>
      </c>
      <c r="V33" s="156"/>
      <c r="W33" s="399">
        <v>1</v>
      </c>
      <c r="X33" s="17">
        <f>T33*1.03</f>
        <v>61529.271916000005</v>
      </c>
      <c r="Y33" s="137">
        <f t="shared" ref="Y33:Y46" si="14">W33*X33</f>
        <v>61529.271916000005</v>
      </c>
      <c r="Z33" s="156"/>
      <c r="AA33" s="399">
        <v>1</v>
      </c>
      <c r="AB33" s="17">
        <f>X33*1.03</f>
        <v>63375.150073480007</v>
      </c>
      <c r="AC33" s="137">
        <f t="shared" ref="AC33:AC46" si="15">AA33*AB33</f>
        <v>63375.150073480007</v>
      </c>
      <c r="AD33" s="157"/>
      <c r="AE33" s="107"/>
      <c r="AF33" s="100" t="s">
        <v>2</v>
      </c>
    </row>
    <row r="34" spans="2:32" ht="15" customHeight="1" x14ac:dyDescent="0.2">
      <c r="B34" s="102"/>
      <c r="C34" s="116"/>
      <c r="D34" s="20" t="s">
        <v>441</v>
      </c>
      <c r="E34" s="103"/>
      <c r="F34" s="399">
        <v>1</v>
      </c>
      <c r="G34" s="17">
        <v>95543</v>
      </c>
      <c r="H34" s="137">
        <f t="shared" si="10"/>
        <v>95543</v>
      </c>
      <c r="I34" s="138"/>
      <c r="J34" s="103"/>
      <c r="K34" s="399">
        <v>1</v>
      </c>
      <c r="L34" s="17">
        <v>98409</v>
      </c>
      <c r="M34" s="137">
        <f t="shared" si="11"/>
        <v>98409</v>
      </c>
      <c r="N34" s="138"/>
      <c r="O34" s="399">
        <v>1</v>
      </c>
      <c r="P34" s="17">
        <f>L34*1.03</f>
        <v>101361.27</v>
      </c>
      <c r="Q34" s="137">
        <f t="shared" si="12"/>
        <v>101361.27</v>
      </c>
      <c r="R34" s="156"/>
      <c r="S34" s="399">
        <v>1</v>
      </c>
      <c r="T34" s="17">
        <f>P34*1.03</f>
        <v>104402.10810000001</v>
      </c>
      <c r="U34" s="137">
        <f t="shared" si="13"/>
        <v>104402.10810000001</v>
      </c>
      <c r="V34" s="156"/>
      <c r="W34" s="399">
        <v>1</v>
      </c>
      <c r="X34" s="17">
        <f>T34*1.03</f>
        <v>107534.17134300001</v>
      </c>
      <c r="Y34" s="137">
        <f t="shared" si="14"/>
        <v>107534.17134300001</v>
      </c>
      <c r="Z34" s="156"/>
      <c r="AA34" s="399">
        <v>1</v>
      </c>
      <c r="AB34" s="17">
        <f>X34*1.03</f>
        <v>110760.19648329001</v>
      </c>
      <c r="AC34" s="137">
        <f t="shared" si="15"/>
        <v>110760.19648329001</v>
      </c>
      <c r="AD34" s="157"/>
      <c r="AE34" s="107"/>
    </row>
    <row r="35" spans="2:32" ht="15" customHeight="1" x14ac:dyDescent="0.2">
      <c r="B35" s="102"/>
      <c r="C35" s="116"/>
      <c r="D35" s="20" t="s">
        <v>442</v>
      </c>
      <c r="E35" s="158"/>
      <c r="F35" s="399">
        <v>2</v>
      </c>
      <c r="G35" s="17">
        <v>36689.5</v>
      </c>
      <c r="H35" s="137">
        <f t="shared" si="10"/>
        <v>73379</v>
      </c>
      <c r="I35" s="138"/>
      <c r="J35" s="158"/>
      <c r="K35" s="399">
        <v>2</v>
      </c>
      <c r="L35" s="17">
        <v>32640</v>
      </c>
      <c r="M35" s="137">
        <f t="shared" si="11"/>
        <v>65280</v>
      </c>
      <c r="N35" s="138"/>
      <c r="O35" s="399">
        <v>2</v>
      </c>
      <c r="P35" s="17">
        <f>L35*1.03</f>
        <v>33619.200000000004</v>
      </c>
      <c r="Q35" s="137">
        <f t="shared" si="12"/>
        <v>67238.400000000009</v>
      </c>
      <c r="R35" s="156"/>
      <c r="S35" s="399">
        <v>2</v>
      </c>
      <c r="T35" s="17">
        <f>P35*1.03</f>
        <v>34627.776000000005</v>
      </c>
      <c r="U35" s="137">
        <f t="shared" si="13"/>
        <v>69255.552000000011</v>
      </c>
      <c r="V35" s="156"/>
      <c r="W35" s="399">
        <v>2</v>
      </c>
      <c r="X35" s="17">
        <f>T35*1.03</f>
        <v>35666.609280000004</v>
      </c>
      <c r="Y35" s="137">
        <f t="shared" si="14"/>
        <v>71333.218560000008</v>
      </c>
      <c r="Z35" s="156"/>
      <c r="AA35" s="399">
        <v>2</v>
      </c>
      <c r="AB35" s="17">
        <f>X35*1.03</f>
        <v>36736.607558400006</v>
      </c>
      <c r="AC35" s="137">
        <f t="shared" si="15"/>
        <v>73473.215116800013</v>
      </c>
      <c r="AD35" s="157" t="s">
        <v>2</v>
      </c>
      <c r="AE35" s="107"/>
    </row>
    <row r="36" spans="2:32" ht="15" customHeight="1" x14ac:dyDescent="0.2">
      <c r="B36" s="102"/>
      <c r="C36" s="116"/>
      <c r="D36" s="20"/>
      <c r="E36" s="158"/>
      <c r="F36" s="399"/>
      <c r="G36" s="17">
        <v>0</v>
      </c>
      <c r="H36" s="137">
        <f t="shared" si="10"/>
        <v>0</v>
      </c>
      <c r="I36" s="138"/>
      <c r="J36" s="158"/>
      <c r="K36" s="399"/>
      <c r="L36" s="17">
        <v>0</v>
      </c>
      <c r="M36" s="137">
        <f t="shared" ref="M36:M41" si="16">K36*L36</f>
        <v>0</v>
      </c>
      <c r="N36" s="138"/>
      <c r="O36" s="399"/>
      <c r="P36" s="17">
        <v>0</v>
      </c>
      <c r="Q36" s="137">
        <f t="shared" ref="Q36:Q41" si="17">O36*P36</f>
        <v>0</v>
      </c>
      <c r="R36" s="156"/>
      <c r="S36" s="399"/>
      <c r="T36" s="17">
        <f>P36*1.03</f>
        <v>0</v>
      </c>
      <c r="U36" s="137">
        <f t="shared" ref="U36:U41" si="18">S36*T36</f>
        <v>0</v>
      </c>
      <c r="V36" s="156"/>
      <c r="W36" s="399"/>
      <c r="X36" s="17">
        <f>T36*1.03</f>
        <v>0</v>
      </c>
      <c r="Y36" s="137">
        <f t="shared" ref="Y36:Y41" si="19">W36*X36</f>
        <v>0</v>
      </c>
      <c r="Z36" s="156"/>
      <c r="AA36" s="399"/>
      <c r="AB36" s="17">
        <f>X36*1.03</f>
        <v>0</v>
      </c>
      <c r="AC36" s="137">
        <f t="shared" ref="AC36:AC41" si="20">AA36*AB36</f>
        <v>0</v>
      </c>
      <c r="AD36" s="157"/>
      <c r="AE36" s="107"/>
    </row>
    <row r="37" spans="2:32" ht="15" customHeight="1" x14ac:dyDescent="0.2">
      <c r="B37" s="102"/>
      <c r="C37" s="116"/>
      <c r="D37" s="20"/>
      <c r="E37" s="158"/>
      <c r="F37" s="399"/>
      <c r="G37" s="17">
        <v>0</v>
      </c>
      <c r="H37" s="137">
        <f t="shared" si="10"/>
        <v>0</v>
      </c>
      <c r="I37" s="138"/>
      <c r="J37" s="158"/>
      <c r="K37" s="399"/>
      <c r="L37" s="17">
        <v>0</v>
      </c>
      <c r="M37" s="137">
        <f t="shared" si="16"/>
        <v>0</v>
      </c>
      <c r="N37" s="138"/>
      <c r="O37" s="399"/>
      <c r="P37" s="17">
        <v>0</v>
      </c>
      <c r="Q37" s="137">
        <f t="shared" si="17"/>
        <v>0</v>
      </c>
      <c r="R37" s="156"/>
      <c r="S37" s="399"/>
      <c r="T37" s="17">
        <v>0</v>
      </c>
      <c r="U37" s="137">
        <f t="shared" si="18"/>
        <v>0</v>
      </c>
      <c r="V37" s="156"/>
      <c r="W37" s="399"/>
      <c r="X37" s="17">
        <v>0</v>
      </c>
      <c r="Y37" s="137">
        <f t="shared" si="19"/>
        <v>0</v>
      </c>
      <c r="Z37" s="156"/>
      <c r="AA37" s="399"/>
      <c r="AB37" s="17">
        <v>0</v>
      </c>
      <c r="AC37" s="137">
        <f t="shared" si="20"/>
        <v>0</v>
      </c>
      <c r="AD37" s="157"/>
      <c r="AE37" s="107"/>
    </row>
    <row r="38" spans="2:32" ht="15" customHeight="1" x14ac:dyDescent="0.2">
      <c r="B38" s="102"/>
      <c r="C38" s="116"/>
      <c r="D38" s="20"/>
      <c r="E38" s="158"/>
      <c r="F38" s="399"/>
      <c r="G38" s="17">
        <v>0</v>
      </c>
      <c r="H38" s="137">
        <f t="shared" si="10"/>
        <v>0</v>
      </c>
      <c r="I38" s="138"/>
      <c r="J38" s="158"/>
      <c r="K38" s="399"/>
      <c r="L38" s="17">
        <v>0</v>
      </c>
      <c r="M38" s="137">
        <f t="shared" si="16"/>
        <v>0</v>
      </c>
      <c r="N38" s="138"/>
      <c r="O38" s="399"/>
      <c r="P38" s="17">
        <v>0</v>
      </c>
      <c r="Q38" s="137">
        <f t="shared" si="17"/>
        <v>0</v>
      </c>
      <c r="R38" s="156"/>
      <c r="S38" s="399"/>
      <c r="T38" s="17">
        <v>0</v>
      </c>
      <c r="U38" s="137">
        <f t="shared" si="18"/>
        <v>0</v>
      </c>
      <c r="V38" s="156"/>
      <c r="W38" s="399"/>
      <c r="X38" s="17">
        <v>0</v>
      </c>
      <c r="Y38" s="137">
        <f t="shared" si="19"/>
        <v>0</v>
      </c>
      <c r="Z38" s="156"/>
      <c r="AA38" s="399"/>
      <c r="AB38" s="17">
        <v>0</v>
      </c>
      <c r="AC38" s="137">
        <f t="shared" si="20"/>
        <v>0</v>
      </c>
      <c r="AD38" s="157"/>
      <c r="AE38" s="107"/>
    </row>
    <row r="39" spans="2:32" ht="15" customHeight="1" x14ac:dyDescent="0.2">
      <c r="B39" s="102"/>
      <c r="C39" s="116"/>
      <c r="D39" s="20"/>
      <c r="E39" s="158"/>
      <c r="F39" s="399"/>
      <c r="G39" s="17">
        <v>0</v>
      </c>
      <c r="H39" s="137">
        <f t="shared" si="10"/>
        <v>0</v>
      </c>
      <c r="I39" s="138"/>
      <c r="J39" s="158"/>
      <c r="K39" s="399"/>
      <c r="L39" s="17">
        <v>0</v>
      </c>
      <c r="M39" s="137">
        <f t="shared" si="16"/>
        <v>0</v>
      </c>
      <c r="N39" s="138"/>
      <c r="O39" s="399"/>
      <c r="P39" s="17">
        <v>0</v>
      </c>
      <c r="Q39" s="137">
        <f t="shared" si="17"/>
        <v>0</v>
      </c>
      <c r="R39" s="156"/>
      <c r="S39" s="399"/>
      <c r="T39" s="17">
        <v>0</v>
      </c>
      <c r="U39" s="137">
        <f t="shared" si="18"/>
        <v>0</v>
      </c>
      <c r="V39" s="156"/>
      <c r="W39" s="399"/>
      <c r="X39" s="17">
        <v>0</v>
      </c>
      <c r="Y39" s="137">
        <f t="shared" si="19"/>
        <v>0</v>
      </c>
      <c r="Z39" s="156"/>
      <c r="AA39" s="399"/>
      <c r="AB39" s="17">
        <v>0</v>
      </c>
      <c r="AC39" s="137">
        <f t="shared" si="20"/>
        <v>0</v>
      </c>
      <c r="AD39" s="157"/>
      <c r="AE39" s="107"/>
    </row>
    <row r="40" spans="2:32" ht="15" customHeight="1" x14ac:dyDescent="0.2">
      <c r="B40" s="102"/>
      <c r="C40" s="116"/>
      <c r="D40" s="20"/>
      <c r="E40" s="158"/>
      <c r="F40" s="399"/>
      <c r="G40" s="17">
        <v>0</v>
      </c>
      <c r="H40" s="137">
        <f t="shared" si="10"/>
        <v>0</v>
      </c>
      <c r="I40" s="138"/>
      <c r="J40" s="158"/>
      <c r="K40" s="399"/>
      <c r="L40" s="17">
        <v>0</v>
      </c>
      <c r="M40" s="137">
        <f t="shared" si="16"/>
        <v>0</v>
      </c>
      <c r="N40" s="138"/>
      <c r="O40" s="399"/>
      <c r="P40" s="17">
        <v>0</v>
      </c>
      <c r="Q40" s="137">
        <f t="shared" si="17"/>
        <v>0</v>
      </c>
      <c r="R40" s="156"/>
      <c r="S40" s="399"/>
      <c r="T40" s="17">
        <v>0</v>
      </c>
      <c r="U40" s="137">
        <f t="shared" si="18"/>
        <v>0</v>
      </c>
      <c r="V40" s="156"/>
      <c r="W40" s="399"/>
      <c r="X40" s="17">
        <v>0</v>
      </c>
      <c r="Y40" s="137">
        <f t="shared" si="19"/>
        <v>0</v>
      </c>
      <c r="Z40" s="156"/>
      <c r="AA40" s="399"/>
      <c r="AB40" s="17">
        <v>0</v>
      </c>
      <c r="AC40" s="137">
        <f t="shared" si="20"/>
        <v>0</v>
      </c>
      <c r="AD40" s="157"/>
      <c r="AE40" s="107"/>
    </row>
    <row r="41" spans="2:32" ht="15" customHeight="1" x14ac:dyDescent="0.2">
      <c r="B41" s="102"/>
      <c r="C41" s="116"/>
      <c r="D41" s="20"/>
      <c r="E41" s="158"/>
      <c r="F41" s="399"/>
      <c r="G41" s="17">
        <v>0</v>
      </c>
      <c r="H41" s="137">
        <f t="shared" si="10"/>
        <v>0</v>
      </c>
      <c r="I41" s="138"/>
      <c r="J41" s="158"/>
      <c r="K41" s="399"/>
      <c r="L41" s="17">
        <v>0</v>
      </c>
      <c r="M41" s="137">
        <f t="shared" si="16"/>
        <v>0</v>
      </c>
      <c r="N41" s="138"/>
      <c r="O41" s="399"/>
      <c r="P41" s="17">
        <v>0</v>
      </c>
      <c r="Q41" s="137">
        <f t="shared" si="17"/>
        <v>0</v>
      </c>
      <c r="R41" s="156"/>
      <c r="S41" s="399"/>
      <c r="T41" s="17">
        <v>0</v>
      </c>
      <c r="U41" s="137">
        <f t="shared" si="18"/>
        <v>0</v>
      </c>
      <c r="V41" s="156"/>
      <c r="W41" s="399"/>
      <c r="X41" s="17">
        <v>0</v>
      </c>
      <c r="Y41" s="137">
        <f t="shared" si="19"/>
        <v>0</v>
      </c>
      <c r="Z41" s="156"/>
      <c r="AA41" s="399"/>
      <c r="AB41" s="17">
        <v>0</v>
      </c>
      <c r="AC41" s="137">
        <f t="shared" si="20"/>
        <v>0</v>
      </c>
      <c r="AD41" s="157"/>
      <c r="AE41" s="107"/>
    </row>
    <row r="42" spans="2:32" ht="15" customHeight="1" x14ac:dyDescent="0.2">
      <c r="B42" s="102"/>
      <c r="C42" s="116"/>
      <c r="D42" s="18"/>
      <c r="E42" s="103"/>
      <c r="F42" s="399"/>
      <c r="G42" s="17">
        <v>0</v>
      </c>
      <c r="H42" s="137">
        <f t="shared" si="10"/>
        <v>0</v>
      </c>
      <c r="I42" s="138"/>
      <c r="J42" s="103"/>
      <c r="K42" s="399"/>
      <c r="L42" s="17">
        <v>0</v>
      </c>
      <c r="M42" s="137">
        <f t="shared" si="11"/>
        <v>0</v>
      </c>
      <c r="N42" s="138"/>
      <c r="O42" s="399"/>
      <c r="P42" s="17">
        <v>0</v>
      </c>
      <c r="Q42" s="137">
        <f t="shared" si="12"/>
        <v>0</v>
      </c>
      <c r="R42" s="156"/>
      <c r="S42" s="399"/>
      <c r="T42" s="17">
        <v>0</v>
      </c>
      <c r="U42" s="137">
        <f t="shared" si="13"/>
        <v>0</v>
      </c>
      <c r="V42" s="156"/>
      <c r="W42" s="399"/>
      <c r="X42" s="17">
        <v>0</v>
      </c>
      <c r="Y42" s="137">
        <f t="shared" si="14"/>
        <v>0</v>
      </c>
      <c r="Z42" s="156"/>
      <c r="AA42" s="399"/>
      <c r="AB42" s="17">
        <v>0</v>
      </c>
      <c r="AC42" s="137">
        <f t="shared" si="15"/>
        <v>0</v>
      </c>
      <c r="AD42" s="157"/>
      <c r="AE42" s="107"/>
    </row>
    <row r="43" spans="2:32" ht="15" customHeight="1" x14ac:dyDescent="0.2">
      <c r="B43" s="102"/>
      <c r="C43" s="116"/>
      <c r="D43" s="18"/>
      <c r="E43" s="103"/>
      <c r="F43" s="399"/>
      <c r="G43" s="17">
        <v>0</v>
      </c>
      <c r="H43" s="137">
        <f t="shared" si="10"/>
        <v>0</v>
      </c>
      <c r="I43" s="138"/>
      <c r="J43" s="103"/>
      <c r="K43" s="399"/>
      <c r="L43" s="17">
        <v>0</v>
      </c>
      <c r="M43" s="137">
        <f t="shared" si="11"/>
        <v>0</v>
      </c>
      <c r="N43" s="138"/>
      <c r="O43" s="399"/>
      <c r="P43" s="17">
        <v>0</v>
      </c>
      <c r="Q43" s="137">
        <f t="shared" si="12"/>
        <v>0</v>
      </c>
      <c r="R43" s="156"/>
      <c r="S43" s="399"/>
      <c r="T43" s="17">
        <v>0</v>
      </c>
      <c r="U43" s="137">
        <f t="shared" si="13"/>
        <v>0</v>
      </c>
      <c r="V43" s="156"/>
      <c r="W43" s="399"/>
      <c r="X43" s="17">
        <v>0</v>
      </c>
      <c r="Y43" s="137">
        <f t="shared" si="14"/>
        <v>0</v>
      </c>
      <c r="Z43" s="156"/>
      <c r="AA43" s="399"/>
      <c r="AB43" s="17">
        <v>0</v>
      </c>
      <c r="AC43" s="137">
        <f t="shared" si="15"/>
        <v>0</v>
      </c>
      <c r="AD43" s="157"/>
      <c r="AE43" s="107"/>
    </row>
    <row r="44" spans="2:32" ht="15" customHeight="1" x14ac:dyDescent="0.2">
      <c r="B44" s="102"/>
      <c r="C44" s="116"/>
      <c r="D44" s="18"/>
      <c r="E44" s="103"/>
      <c r="F44" s="399"/>
      <c r="G44" s="17">
        <v>0</v>
      </c>
      <c r="H44" s="137">
        <f t="shared" si="10"/>
        <v>0</v>
      </c>
      <c r="I44" s="138"/>
      <c r="J44" s="103"/>
      <c r="K44" s="399"/>
      <c r="L44" s="17">
        <v>0</v>
      </c>
      <c r="M44" s="137">
        <f t="shared" si="11"/>
        <v>0</v>
      </c>
      <c r="N44" s="138"/>
      <c r="O44" s="399"/>
      <c r="P44" s="17">
        <v>0</v>
      </c>
      <c r="Q44" s="137">
        <f t="shared" si="12"/>
        <v>0</v>
      </c>
      <c r="R44" s="156"/>
      <c r="S44" s="399"/>
      <c r="T44" s="17">
        <v>0</v>
      </c>
      <c r="U44" s="137">
        <f t="shared" si="13"/>
        <v>0</v>
      </c>
      <c r="V44" s="156"/>
      <c r="W44" s="399"/>
      <c r="X44" s="17">
        <v>0</v>
      </c>
      <c r="Y44" s="137">
        <f t="shared" si="14"/>
        <v>0</v>
      </c>
      <c r="Z44" s="156"/>
      <c r="AA44" s="399"/>
      <c r="AB44" s="17">
        <v>0</v>
      </c>
      <c r="AC44" s="137">
        <f t="shared" si="15"/>
        <v>0</v>
      </c>
      <c r="AD44" s="157"/>
      <c r="AE44" s="107"/>
    </row>
    <row r="45" spans="2:32" ht="15" customHeight="1" x14ac:dyDescent="0.2">
      <c r="B45" s="102"/>
      <c r="C45" s="116"/>
      <c r="D45" s="18"/>
      <c r="E45" s="103"/>
      <c r="F45" s="399"/>
      <c r="G45" s="17">
        <v>0</v>
      </c>
      <c r="H45" s="137">
        <f t="shared" si="10"/>
        <v>0</v>
      </c>
      <c r="I45" s="138"/>
      <c r="J45" s="103"/>
      <c r="K45" s="399"/>
      <c r="L45" s="17">
        <v>0</v>
      </c>
      <c r="M45" s="137">
        <f t="shared" si="11"/>
        <v>0</v>
      </c>
      <c r="N45" s="138"/>
      <c r="O45" s="399"/>
      <c r="P45" s="17">
        <v>0</v>
      </c>
      <c r="Q45" s="137">
        <f t="shared" si="12"/>
        <v>0</v>
      </c>
      <c r="R45" s="156"/>
      <c r="S45" s="399"/>
      <c r="T45" s="17">
        <v>0</v>
      </c>
      <c r="U45" s="137">
        <f t="shared" si="13"/>
        <v>0</v>
      </c>
      <c r="V45" s="156"/>
      <c r="W45" s="399"/>
      <c r="X45" s="17">
        <v>0</v>
      </c>
      <c r="Y45" s="137">
        <f t="shared" si="14"/>
        <v>0</v>
      </c>
      <c r="Z45" s="156"/>
      <c r="AA45" s="399"/>
      <c r="AB45" s="17">
        <v>0</v>
      </c>
      <c r="AC45" s="137">
        <f t="shared" si="15"/>
        <v>0</v>
      </c>
      <c r="AD45" s="157"/>
      <c r="AE45" s="107"/>
    </row>
    <row r="46" spans="2:32" ht="15" customHeight="1" x14ac:dyDescent="0.2">
      <c r="B46" s="102"/>
      <c r="C46" s="116"/>
      <c r="D46" s="18"/>
      <c r="E46" s="103"/>
      <c r="F46" s="399"/>
      <c r="G46" s="17">
        <v>0</v>
      </c>
      <c r="H46" s="137">
        <f t="shared" si="10"/>
        <v>0</v>
      </c>
      <c r="I46" s="138"/>
      <c r="J46" s="103"/>
      <c r="K46" s="399"/>
      <c r="L46" s="17">
        <v>0</v>
      </c>
      <c r="M46" s="137">
        <f t="shared" si="11"/>
        <v>0</v>
      </c>
      <c r="N46" s="138"/>
      <c r="O46" s="399"/>
      <c r="P46" s="17">
        <v>0</v>
      </c>
      <c r="Q46" s="137">
        <f>O46*P46</f>
        <v>0</v>
      </c>
      <c r="R46" s="156"/>
      <c r="S46" s="399"/>
      <c r="T46" s="17">
        <v>0</v>
      </c>
      <c r="U46" s="137">
        <f t="shared" si="13"/>
        <v>0</v>
      </c>
      <c r="V46" s="156"/>
      <c r="W46" s="399"/>
      <c r="X46" s="17">
        <v>0</v>
      </c>
      <c r="Y46" s="137">
        <f t="shared" si="14"/>
        <v>0</v>
      </c>
      <c r="Z46" s="156"/>
      <c r="AA46" s="399"/>
      <c r="AB46" s="17">
        <v>0</v>
      </c>
      <c r="AC46" s="137">
        <f t="shared" si="15"/>
        <v>0</v>
      </c>
      <c r="AD46" s="157"/>
      <c r="AE46" s="107"/>
    </row>
    <row r="47" spans="2:32" ht="15" customHeight="1" x14ac:dyDescent="0.2">
      <c r="B47" s="102"/>
      <c r="C47" s="116"/>
      <c r="D47" s="141" t="s">
        <v>88</v>
      </c>
      <c r="E47" s="104"/>
      <c r="F47" s="142">
        <f>SUM(F32:F46)</f>
        <v>5</v>
      </c>
      <c r="G47" s="143"/>
      <c r="H47" s="144">
        <f>SUM(H32:H46)</f>
        <v>241841</v>
      </c>
      <c r="I47" s="145"/>
      <c r="J47" s="104"/>
      <c r="K47" s="142">
        <f>SUM(K32:K46)</f>
        <v>5</v>
      </c>
      <c r="L47" s="143"/>
      <c r="M47" s="144">
        <f>SUM(M32:M46)</f>
        <v>238796</v>
      </c>
      <c r="N47" s="145"/>
      <c r="O47" s="142">
        <f>SUM(O32:O46)</f>
        <v>5</v>
      </c>
      <c r="P47" s="143"/>
      <c r="Q47" s="144">
        <f>SUM(Q32:Q46)</f>
        <v>245959.88</v>
      </c>
      <c r="R47" s="159"/>
      <c r="S47" s="142">
        <f>SUM(S32:S46)</f>
        <v>5</v>
      </c>
      <c r="T47" s="143"/>
      <c r="U47" s="144">
        <f>SUM(U32:U46)</f>
        <v>253338.67640000005</v>
      </c>
      <c r="V47" s="159"/>
      <c r="W47" s="142">
        <f>SUM(W32:W46)</f>
        <v>5</v>
      </c>
      <c r="X47" s="143"/>
      <c r="Y47" s="144">
        <f>SUM(Y32:Y46)</f>
        <v>260938.83669200004</v>
      </c>
      <c r="Z47" s="159"/>
      <c r="AA47" s="142">
        <f>SUM(AA32:AA46)</f>
        <v>5</v>
      </c>
      <c r="AB47" s="143"/>
      <c r="AC47" s="144">
        <f>SUM(AC32:AC46)</f>
        <v>268767.00179275998</v>
      </c>
      <c r="AD47" s="157"/>
      <c r="AE47" s="107"/>
    </row>
    <row r="48" spans="2:32" ht="15" customHeight="1" x14ac:dyDescent="0.2">
      <c r="B48" s="102"/>
      <c r="C48" s="116"/>
      <c r="D48" s="160"/>
      <c r="E48" s="104"/>
      <c r="F48" s="161"/>
      <c r="G48" s="162"/>
      <c r="H48" s="163"/>
      <c r="I48" s="145"/>
      <c r="J48" s="104"/>
      <c r="K48" s="161"/>
      <c r="L48" s="162"/>
      <c r="M48" s="163"/>
      <c r="N48" s="145"/>
      <c r="O48" s="161"/>
      <c r="P48" s="164"/>
      <c r="Q48" s="165"/>
      <c r="R48" s="159"/>
      <c r="S48" s="161"/>
      <c r="T48" s="164"/>
      <c r="U48" s="165"/>
      <c r="V48" s="159"/>
      <c r="W48" s="161"/>
      <c r="X48" s="164"/>
      <c r="Y48" s="165"/>
      <c r="Z48" s="159"/>
      <c r="AA48" s="161"/>
      <c r="AB48" s="164"/>
      <c r="AC48" s="165"/>
      <c r="AD48" s="157"/>
      <c r="AE48" s="107"/>
    </row>
    <row r="49" spans="1:49" ht="43.5" customHeight="1" x14ac:dyDescent="0.2">
      <c r="B49" s="102"/>
      <c r="C49" s="116"/>
      <c r="D49" s="167"/>
      <c r="E49" s="117"/>
      <c r="F49" s="168"/>
      <c r="G49" s="123" t="s">
        <v>87</v>
      </c>
      <c r="H49" s="124" t="s">
        <v>80</v>
      </c>
      <c r="I49" s="125"/>
      <c r="J49" s="117"/>
      <c r="K49" s="168"/>
      <c r="L49" s="123" t="s">
        <v>87</v>
      </c>
      <c r="M49" s="124" t="s">
        <v>80</v>
      </c>
      <c r="N49" s="125"/>
      <c r="O49" s="168"/>
      <c r="P49" s="123" t="s">
        <v>87</v>
      </c>
      <c r="Q49" s="124" t="s">
        <v>80</v>
      </c>
      <c r="R49" s="125"/>
      <c r="S49" s="168"/>
      <c r="T49" s="123" t="s">
        <v>87</v>
      </c>
      <c r="U49" s="124" t="s">
        <v>80</v>
      </c>
      <c r="V49" s="125"/>
      <c r="W49" s="168"/>
      <c r="X49" s="169" t="s">
        <v>87</v>
      </c>
      <c r="Y49" s="124" t="s">
        <v>80</v>
      </c>
      <c r="Z49" s="125"/>
      <c r="AA49" s="168"/>
      <c r="AB49" s="123" t="s">
        <v>87</v>
      </c>
      <c r="AC49" s="124" t="s">
        <v>80</v>
      </c>
      <c r="AD49" s="119"/>
      <c r="AE49" s="120"/>
      <c r="AF49" s="170"/>
      <c r="AG49" s="170"/>
      <c r="AH49" s="170"/>
      <c r="AI49" s="170"/>
      <c r="AJ49" s="170"/>
    </row>
    <row r="50" spans="1:49" ht="15" customHeight="1" x14ac:dyDescent="0.2">
      <c r="B50" s="102"/>
      <c r="C50" s="116"/>
      <c r="D50" s="126" t="s">
        <v>86</v>
      </c>
      <c r="E50" s="127"/>
      <c r="F50" s="171"/>
      <c r="G50" s="172"/>
      <c r="H50" s="173"/>
      <c r="I50" s="174"/>
      <c r="J50" s="127"/>
      <c r="K50" s="171"/>
      <c r="L50" s="172"/>
      <c r="M50" s="173"/>
      <c r="N50" s="174"/>
      <c r="O50" s="175"/>
      <c r="P50" s="176"/>
      <c r="Q50" s="177"/>
      <c r="R50" s="178"/>
      <c r="S50" s="175"/>
      <c r="T50" s="176"/>
      <c r="U50" s="177"/>
      <c r="V50" s="178"/>
      <c r="W50" s="175"/>
      <c r="X50" s="176"/>
      <c r="Y50" s="177"/>
      <c r="Z50" s="178"/>
      <c r="AA50" s="175"/>
      <c r="AB50" s="176"/>
      <c r="AC50" s="177"/>
      <c r="AD50" s="157"/>
      <c r="AE50" s="107"/>
      <c r="AF50" s="97"/>
      <c r="AG50" s="97"/>
      <c r="AH50" s="97"/>
      <c r="AI50" s="97"/>
      <c r="AJ50" s="97"/>
    </row>
    <row r="51" spans="1:49" s="96" customFormat="1" ht="15" customHeight="1" x14ac:dyDescent="0.2">
      <c r="B51" s="102"/>
      <c r="C51" s="116"/>
      <c r="D51" s="179" t="s">
        <v>407</v>
      </c>
      <c r="E51" s="103"/>
      <c r="F51" s="180"/>
      <c r="G51" s="40">
        <v>2596.71</v>
      </c>
      <c r="H51" s="137">
        <f>G51*($F$29+$F$47)</f>
        <v>48039.135000000002</v>
      </c>
      <c r="I51" s="138"/>
      <c r="J51" s="103"/>
      <c r="K51" s="180"/>
      <c r="L51" s="40">
        <v>2674.6700500000002</v>
      </c>
      <c r="M51" s="137">
        <f>L51*($K$29+$K$47)</f>
        <v>42794.720800000003</v>
      </c>
      <c r="N51" s="138"/>
      <c r="O51" s="181"/>
      <c r="P51" s="40">
        <v>2754.9101515000002</v>
      </c>
      <c r="Q51" s="137">
        <f>P51*($O$29+$O$47)</f>
        <v>44078.562424000003</v>
      </c>
      <c r="R51" s="138"/>
      <c r="S51" s="181"/>
      <c r="T51" s="40">
        <v>2837.5574000000001</v>
      </c>
      <c r="U51" s="137">
        <f>T51*($S$29+$S$47)</f>
        <v>45400.918400000002</v>
      </c>
      <c r="V51" s="138"/>
      <c r="W51" s="181"/>
      <c r="X51" s="40">
        <v>2922.6849999999999</v>
      </c>
      <c r="Y51" s="137">
        <f>X51*($W$29+$W$47)</f>
        <v>49685.644999999997</v>
      </c>
      <c r="Z51" s="138"/>
      <c r="AA51" s="181"/>
      <c r="AB51" s="40">
        <v>3010.364705118141</v>
      </c>
      <c r="AC51" s="137">
        <f>AB51*($AA$29+$AA$47)</f>
        <v>51176.199987008396</v>
      </c>
      <c r="AD51" s="157"/>
      <c r="AE51" s="107"/>
      <c r="AF51" s="97"/>
      <c r="AG51" s="97"/>
      <c r="AH51" s="97"/>
      <c r="AI51" s="97"/>
      <c r="AJ51" s="97"/>
      <c r="AK51" s="97"/>
      <c r="AL51" s="97"/>
      <c r="AM51" s="97"/>
      <c r="AN51" s="97"/>
      <c r="AO51" s="97"/>
      <c r="AP51" s="97"/>
      <c r="AQ51" s="97"/>
      <c r="AR51" s="97"/>
      <c r="AS51" s="97"/>
      <c r="AT51" s="97"/>
      <c r="AU51" s="97"/>
      <c r="AV51" s="97"/>
      <c r="AW51" s="97"/>
    </row>
    <row r="52" spans="1:49" s="96" customFormat="1" ht="15" customHeight="1" x14ac:dyDescent="0.2">
      <c r="B52" s="102"/>
      <c r="C52" s="116"/>
      <c r="D52" s="182" t="s">
        <v>408</v>
      </c>
      <c r="E52" s="103"/>
      <c r="F52" s="180"/>
      <c r="G52" s="40">
        <v>0</v>
      </c>
      <c r="H52" s="137">
        <f>G52*($F$29+$F$47)</f>
        <v>0</v>
      </c>
      <c r="I52" s="138"/>
      <c r="J52" s="103"/>
      <c r="K52" s="180"/>
      <c r="L52" s="40">
        <v>0</v>
      </c>
      <c r="M52" s="137">
        <f>L52*($K$29+$K$47)</f>
        <v>0</v>
      </c>
      <c r="N52" s="138"/>
      <c r="O52" s="181"/>
      <c r="P52" s="40">
        <v>0</v>
      </c>
      <c r="Q52" s="137">
        <f>P52*($O$29+$O$47)</f>
        <v>0</v>
      </c>
      <c r="R52" s="138"/>
      <c r="S52" s="181"/>
      <c r="T52" s="40">
        <v>0</v>
      </c>
      <c r="U52" s="137">
        <f>T52*($S$29+$S$47)</f>
        <v>0</v>
      </c>
      <c r="V52" s="138"/>
      <c r="W52" s="181"/>
      <c r="X52" s="40">
        <v>0</v>
      </c>
      <c r="Y52" s="137">
        <f>X52*($W$29+$W$47)</f>
        <v>0</v>
      </c>
      <c r="Z52" s="138"/>
      <c r="AA52" s="181"/>
      <c r="AB52" s="40">
        <v>0</v>
      </c>
      <c r="AC52" s="137">
        <f>AB52*($AA$29+$AA$47)</f>
        <v>0</v>
      </c>
      <c r="AD52" s="157"/>
      <c r="AE52" s="107"/>
      <c r="AF52" s="97"/>
      <c r="AG52" s="97"/>
      <c r="AH52" s="97"/>
      <c r="AI52" s="97"/>
      <c r="AJ52" s="97"/>
      <c r="AK52" s="97"/>
      <c r="AL52" s="97"/>
      <c r="AM52" s="97"/>
      <c r="AN52" s="97"/>
      <c r="AO52" s="97"/>
      <c r="AP52" s="97"/>
      <c r="AQ52" s="97"/>
      <c r="AR52" s="97"/>
      <c r="AS52" s="97"/>
      <c r="AT52" s="97"/>
      <c r="AU52" s="97"/>
      <c r="AV52" s="97"/>
      <c r="AW52" s="97"/>
    </row>
    <row r="53" spans="1:49" s="96" customFormat="1" ht="15" customHeight="1" x14ac:dyDescent="0.2">
      <c r="B53" s="102"/>
      <c r="C53" s="116"/>
      <c r="D53" s="182" t="s">
        <v>406</v>
      </c>
      <c r="E53" s="103"/>
      <c r="F53" s="180"/>
      <c r="G53" s="183">
        <v>6.2E-2</v>
      </c>
      <c r="H53" s="137">
        <f>G53*($H$29+$H$47)</f>
        <v>50644.142</v>
      </c>
      <c r="I53" s="138"/>
      <c r="J53" s="103"/>
      <c r="K53" s="180"/>
      <c r="L53" s="183">
        <v>6.2E-2</v>
      </c>
      <c r="M53" s="137">
        <f>L53*($M$29+$M$47)</f>
        <v>46580.351999999999</v>
      </c>
      <c r="N53" s="138"/>
      <c r="O53" s="181"/>
      <c r="P53" s="183">
        <v>6.2E-2</v>
      </c>
      <c r="Q53" s="137">
        <f>P53*($Q$29+$Q$47)</f>
        <v>47977.762560000003</v>
      </c>
      <c r="R53" s="138"/>
      <c r="S53" s="181"/>
      <c r="T53" s="183">
        <v>6.2E-2</v>
      </c>
      <c r="U53" s="137">
        <f>T53*($U$29+$U$47)</f>
        <v>49417.095436800002</v>
      </c>
      <c r="V53" s="138"/>
      <c r="W53" s="181"/>
      <c r="X53" s="184">
        <v>6.2E-2</v>
      </c>
      <c r="Y53" s="137">
        <f>X53*($Y$29+$Y$47)</f>
        <v>54092.608020904001</v>
      </c>
      <c r="Z53" s="138"/>
      <c r="AA53" s="181"/>
      <c r="AB53" s="183">
        <v>6.2E-2</v>
      </c>
      <c r="AC53" s="137">
        <f>AB53*($AC$29+$AC$47)</f>
        <v>55715.386261531123</v>
      </c>
      <c r="AD53" s="157"/>
      <c r="AE53" s="107"/>
      <c r="AF53" s="97"/>
      <c r="AG53" s="97"/>
      <c r="AH53" s="97"/>
      <c r="AI53" s="97"/>
      <c r="AJ53" s="97"/>
      <c r="AK53" s="97"/>
      <c r="AL53" s="97"/>
      <c r="AM53" s="97"/>
      <c r="AN53" s="97"/>
      <c r="AO53" s="97"/>
      <c r="AP53" s="97"/>
      <c r="AQ53" s="97"/>
      <c r="AR53" s="97"/>
      <c r="AS53" s="97"/>
      <c r="AT53" s="97"/>
      <c r="AU53" s="97"/>
      <c r="AV53" s="97"/>
      <c r="AW53" s="97"/>
    </row>
    <row r="54" spans="1:49" s="96" customFormat="1" ht="15" customHeight="1" x14ac:dyDescent="0.2">
      <c r="B54" s="102"/>
      <c r="C54" s="116"/>
      <c r="D54" s="182" t="s">
        <v>81</v>
      </c>
      <c r="E54" s="103"/>
      <c r="F54" s="180"/>
      <c r="G54" s="185">
        <v>1.4500000000000001E-2</v>
      </c>
      <c r="H54" s="137">
        <f>G54*($H$29+$H$47)</f>
        <v>11844.194500000001</v>
      </c>
      <c r="I54" s="138"/>
      <c r="J54" s="103"/>
      <c r="K54" s="180"/>
      <c r="L54" s="185">
        <v>1.4500000000000001E-2</v>
      </c>
      <c r="M54" s="137">
        <f>L54*($M$29+$M$47)</f>
        <v>10893.792000000001</v>
      </c>
      <c r="N54" s="138"/>
      <c r="O54" s="181"/>
      <c r="P54" s="185">
        <v>1.4500000000000001E-2</v>
      </c>
      <c r="Q54" s="137">
        <f>P54*($Q$29+$Q$47)</f>
        <v>11220.60576</v>
      </c>
      <c r="R54" s="138"/>
      <c r="S54" s="181"/>
      <c r="T54" s="185">
        <v>1.4500000000000001E-2</v>
      </c>
      <c r="U54" s="137">
        <f>T54*($U$29+$U$47)</f>
        <v>11557.223932800001</v>
      </c>
      <c r="V54" s="138"/>
      <c r="W54" s="181"/>
      <c r="X54" s="186">
        <v>1.4500000000000001E-2</v>
      </c>
      <c r="Y54" s="137">
        <f>X54*($Y$29+$Y$47)</f>
        <v>12650.690585534001</v>
      </c>
      <c r="Z54" s="138"/>
      <c r="AA54" s="181"/>
      <c r="AB54" s="185">
        <v>1.4500000000000001E-2</v>
      </c>
      <c r="AC54" s="137">
        <f>AB54*($AC$29+$AC$47)</f>
        <v>13030.211303100021</v>
      </c>
      <c r="AD54" s="157"/>
      <c r="AE54" s="107"/>
      <c r="AF54" s="97"/>
      <c r="AG54" s="97"/>
      <c r="AH54" s="97"/>
      <c r="AI54" s="97"/>
      <c r="AJ54" s="97"/>
      <c r="AK54" s="97"/>
      <c r="AL54" s="97"/>
      <c r="AM54" s="97"/>
      <c r="AN54" s="97"/>
      <c r="AO54" s="97"/>
      <c r="AP54" s="97"/>
      <c r="AQ54" s="97"/>
      <c r="AR54" s="97"/>
      <c r="AS54" s="97"/>
      <c r="AT54" s="97"/>
      <c r="AU54" s="97"/>
      <c r="AV54" s="97"/>
      <c r="AW54" s="97"/>
    </row>
    <row r="55" spans="1:49" s="96" customFormat="1" ht="15" customHeight="1" x14ac:dyDescent="0.2">
      <c r="B55" s="102"/>
      <c r="C55" s="116"/>
      <c r="D55" s="182" t="s">
        <v>82</v>
      </c>
      <c r="E55" s="103"/>
      <c r="F55" s="180"/>
      <c r="G55" s="183">
        <v>2.5000000000000001E-2</v>
      </c>
      <c r="H55" s="137">
        <f>G55*($H$29+$H$47)</f>
        <v>20421.025000000001</v>
      </c>
      <c r="I55" s="138"/>
      <c r="J55" s="103"/>
      <c r="K55" s="180"/>
      <c r="L55" s="183">
        <v>2.5000000000000001E-2</v>
      </c>
      <c r="M55" s="137">
        <f>L55*($M$29+$M$47)</f>
        <v>18782.400000000001</v>
      </c>
      <c r="N55" s="138"/>
      <c r="O55" s="181"/>
      <c r="P55" s="183">
        <v>2.5000000000000001E-2</v>
      </c>
      <c r="Q55" s="137">
        <f>P55*($Q$29+$Q$47)</f>
        <v>19345.871999999999</v>
      </c>
      <c r="R55" s="138"/>
      <c r="S55" s="181"/>
      <c r="T55" s="183">
        <v>2.5000000000000001E-2</v>
      </c>
      <c r="U55" s="137">
        <f>T55*($U$29+$U$47)</f>
        <v>19926.248160000003</v>
      </c>
      <c r="V55" s="138"/>
      <c r="W55" s="181"/>
      <c r="X55" s="184">
        <v>2.5000000000000001E-2</v>
      </c>
      <c r="Y55" s="137">
        <f>X55*($Y$29+$Y$47)</f>
        <v>21811.535492300001</v>
      </c>
      <c r="Z55" s="138"/>
      <c r="AA55" s="181"/>
      <c r="AB55" s="183">
        <v>2.5000000000000001E-2</v>
      </c>
      <c r="AC55" s="137">
        <f>AB55*($AC$29+$AC$47)</f>
        <v>22465.881557069002</v>
      </c>
      <c r="AD55" s="157"/>
      <c r="AE55" s="107"/>
      <c r="AF55" s="97"/>
      <c r="AG55" s="97"/>
      <c r="AH55" s="97"/>
      <c r="AI55" s="97"/>
      <c r="AJ55" s="97"/>
      <c r="AK55" s="97"/>
      <c r="AL55" s="97"/>
      <c r="AM55" s="97"/>
      <c r="AN55" s="97"/>
      <c r="AO55" s="97"/>
      <c r="AP55" s="97"/>
      <c r="AQ55" s="97"/>
      <c r="AR55" s="97"/>
      <c r="AS55" s="97"/>
      <c r="AT55" s="97"/>
      <c r="AU55" s="97"/>
      <c r="AV55" s="97"/>
      <c r="AW55" s="97"/>
    </row>
    <row r="56" spans="1:49" s="96" customFormat="1" ht="15" customHeight="1" x14ac:dyDescent="0.2">
      <c r="B56" s="102"/>
      <c r="C56" s="116"/>
      <c r="D56" s="182" t="s">
        <v>456</v>
      </c>
      <c r="E56" s="103"/>
      <c r="F56" s="394"/>
      <c r="G56" s="393"/>
      <c r="H56" s="40">
        <v>0</v>
      </c>
      <c r="I56" s="138"/>
      <c r="J56" s="103"/>
      <c r="K56" s="394"/>
      <c r="L56" s="393"/>
      <c r="M56" s="40">
        <v>0</v>
      </c>
      <c r="N56" s="138"/>
      <c r="O56" s="395"/>
      <c r="P56" s="393"/>
      <c r="Q56" s="40">
        <v>0</v>
      </c>
      <c r="R56" s="138"/>
      <c r="S56" s="395"/>
      <c r="T56" s="393"/>
      <c r="U56" s="40">
        <v>0</v>
      </c>
      <c r="V56" s="138"/>
      <c r="W56" s="395"/>
      <c r="X56" s="393"/>
      <c r="Y56" s="40">
        <v>0</v>
      </c>
      <c r="Z56" s="138"/>
      <c r="AA56" s="395"/>
      <c r="AB56" s="393"/>
      <c r="AC56" s="40">
        <v>0</v>
      </c>
      <c r="AD56" s="157"/>
      <c r="AE56" s="107"/>
      <c r="AF56" s="97"/>
      <c r="AG56" s="97"/>
      <c r="AH56" s="97"/>
      <c r="AI56" s="97"/>
      <c r="AJ56" s="97"/>
      <c r="AK56" s="97"/>
      <c r="AL56" s="97"/>
      <c r="AM56" s="97"/>
      <c r="AN56" s="97"/>
      <c r="AO56" s="97"/>
      <c r="AP56" s="97"/>
      <c r="AQ56" s="97"/>
      <c r="AR56" s="97"/>
      <c r="AS56" s="97"/>
      <c r="AT56" s="97"/>
      <c r="AU56" s="97"/>
      <c r="AV56" s="97"/>
      <c r="AW56" s="97"/>
    </row>
    <row r="57" spans="1:49" s="100" customFormat="1" ht="15" customHeight="1" x14ac:dyDescent="0.2">
      <c r="A57" s="97"/>
      <c r="B57" s="102"/>
      <c r="C57" s="187"/>
      <c r="D57" s="188"/>
      <c r="E57" s="189"/>
      <c r="F57" s="190"/>
      <c r="G57" s="191"/>
      <c r="H57" s="192"/>
      <c r="I57" s="162"/>
      <c r="J57" s="189"/>
      <c r="K57" s="190"/>
      <c r="L57" s="191"/>
      <c r="M57" s="192"/>
      <c r="N57" s="162"/>
      <c r="O57" s="193"/>
      <c r="P57" s="191"/>
      <c r="Q57" s="192"/>
      <c r="R57" s="162"/>
      <c r="S57" s="193"/>
      <c r="T57" s="191"/>
      <c r="U57" s="192"/>
      <c r="V57" s="162"/>
      <c r="W57" s="193"/>
      <c r="X57" s="191"/>
      <c r="Y57" s="192"/>
      <c r="Z57" s="162"/>
      <c r="AA57" s="193"/>
      <c r="AB57" s="191"/>
      <c r="AC57" s="192"/>
      <c r="AD57" s="194"/>
      <c r="AE57" s="107"/>
      <c r="AF57" s="195"/>
      <c r="AG57" s="97"/>
      <c r="AH57" s="97"/>
      <c r="AI57" s="97"/>
      <c r="AJ57" s="97"/>
    </row>
    <row r="58" spans="1:49" s="100" customFormat="1" ht="15" customHeight="1" x14ac:dyDescent="0.2">
      <c r="A58" s="97"/>
      <c r="B58" s="102"/>
      <c r="C58" s="103"/>
      <c r="D58" s="148"/>
      <c r="E58" s="104"/>
      <c r="F58" s="103"/>
      <c r="G58" s="196"/>
      <c r="H58" s="197"/>
      <c r="I58" s="145"/>
      <c r="J58" s="104"/>
      <c r="K58" s="103"/>
      <c r="L58" s="196"/>
      <c r="M58" s="197"/>
      <c r="N58" s="145"/>
      <c r="O58" s="159"/>
      <c r="P58" s="196"/>
      <c r="Q58" s="197"/>
      <c r="R58" s="145"/>
      <c r="S58" s="159"/>
      <c r="T58" s="196"/>
      <c r="U58" s="197"/>
      <c r="V58" s="145"/>
      <c r="W58" s="159"/>
      <c r="X58" s="196"/>
      <c r="Y58" s="197"/>
      <c r="Z58" s="145"/>
      <c r="AA58" s="159"/>
      <c r="AB58" s="196"/>
      <c r="AC58" s="197"/>
      <c r="AD58" s="103"/>
      <c r="AE58" s="107"/>
      <c r="AF58" s="195"/>
      <c r="AG58" s="97"/>
      <c r="AH58" s="97"/>
      <c r="AI58" s="97"/>
      <c r="AJ58" s="97"/>
    </row>
    <row r="59" spans="1:49" s="100" customFormat="1" ht="15" customHeight="1" x14ac:dyDescent="0.2">
      <c r="A59" s="97"/>
      <c r="B59" s="102"/>
      <c r="C59" s="113"/>
      <c r="D59" s="198"/>
      <c r="E59" s="199"/>
      <c r="F59" s="114"/>
      <c r="G59" s="200"/>
      <c r="H59" s="201"/>
      <c r="I59" s="202"/>
      <c r="J59" s="199"/>
      <c r="K59" s="114"/>
      <c r="L59" s="200"/>
      <c r="M59" s="201"/>
      <c r="N59" s="202"/>
      <c r="O59" s="203"/>
      <c r="P59" s="200"/>
      <c r="Q59" s="201"/>
      <c r="R59" s="202"/>
      <c r="S59" s="203"/>
      <c r="T59" s="200"/>
      <c r="U59" s="201"/>
      <c r="V59" s="202"/>
      <c r="W59" s="203"/>
      <c r="X59" s="200"/>
      <c r="Y59" s="201"/>
      <c r="Z59" s="202"/>
      <c r="AA59" s="203"/>
      <c r="AB59" s="200"/>
      <c r="AC59" s="201"/>
      <c r="AD59" s="115"/>
      <c r="AE59" s="107"/>
      <c r="AF59" s="195"/>
      <c r="AG59" s="97"/>
      <c r="AH59" s="97"/>
      <c r="AI59" s="97"/>
      <c r="AJ59" s="97"/>
    </row>
    <row r="60" spans="1:49" ht="15" customHeight="1" x14ac:dyDescent="0.2">
      <c r="B60" s="102"/>
      <c r="C60" s="116"/>
      <c r="D60" s="204" t="s">
        <v>89</v>
      </c>
      <c r="E60" s="104"/>
      <c r="F60" s="482" t="s">
        <v>450</v>
      </c>
      <c r="G60" s="483"/>
      <c r="H60" s="484"/>
      <c r="I60" s="103"/>
      <c r="J60" s="104"/>
      <c r="K60" s="482" t="s">
        <v>451</v>
      </c>
      <c r="L60" s="483"/>
      <c r="M60" s="484"/>
      <c r="N60" s="103"/>
      <c r="O60" s="482" t="s">
        <v>452</v>
      </c>
      <c r="P60" s="483"/>
      <c r="Q60" s="484"/>
      <c r="R60" s="103"/>
      <c r="S60" s="482" t="s">
        <v>453</v>
      </c>
      <c r="T60" s="483"/>
      <c r="U60" s="484"/>
      <c r="V60" s="103"/>
      <c r="W60" s="482" t="s">
        <v>454</v>
      </c>
      <c r="X60" s="485"/>
      <c r="Y60" s="486"/>
      <c r="Z60" s="103"/>
      <c r="AA60" s="482" t="s">
        <v>455</v>
      </c>
      <c r="AB60" s="483"/>
      <c r="AC60" s="484"/>
      <c r="AD60" s="136"/>
      <c r="AE60" s="107"/>
      <c r="AF60" s="97"/>
      <c r="AG60" s="97"/>
      <c r="AH60" s="97"/>
      <c r="AI60" s="97"/>
      <c r="AJ60" s="97"/>
    </row>
    <row r="61" spans="1:49" ht="15" customHeight="1" x14ac:dyDescent="0.2">
      <c r="B61" s="102"/>
      <c r="C61" s="116"/>
      <c r="D61" s="104"/>
      <c r="E61" s="205"/>
      <c r="F61" s="206" t="s">
        <v>56</v>
      </c>
      <c r="G61" s="207"/>
      <c r="H61" s="166">
        <f>F29+F47</f>
        <v>18.5</v>
      </c>
      <c r="I61" s="207"/>
      <c r="J61" s="205"/>
      <c r="K61" s="206" t="s">
        <v>56</v>
      </c>
      <c r="L61" s="207"/>
      <c r="M61" s="166">
        <f>K29+K47</f>
        <v>16</v>
      </c>
      <c r="N61" s="207"/>
      <c r="O61" s="206" t="s">
        <v>56</v>
      </c>
      <c r="P61" s="205"/>
      <c r="Q61" s="166">
        <f>O29+O47</f>
        <v>16</v>
      </c>
      <c r="R61" s="205"/>
      <c r="S61" s="206" t="s">
        <v>56</v>
      </c>
      <c r="T61" s="205"/>
      <c r="U61" s="166">
        <f>S29+S47</f>
        <v>16</v>
      </c>
      <c r="V61" s="205"/>
      <c r="W61" s="206" t="s">
        <v>56</v>
      </c>
      <c r="X61" s="205"/>
      <c r="Y61" s="166">
        <f>W29+W47</f>
        <v>17</v>
      </c>
      <c r="Z61" s="205"/>
      <c r="AA61" s="206" t="s">
        <v>56</v>
      </c>
      <c r="AB61" s="205"/>
      <c r="AC61" s="166">
        <f>AA29+AA47</f>
        <v>17</v>
      </c>
      <c r="AD61" s="139"/>
      <c r="AE61" s="208"/>
      <c r="AF61" s="209"/>
      <c r="AG61" s="209"/>
      <c r="AH61" s="209"/>
      <c r="AI61" s="210"/>
      <c r="AJ61" s="209"/>
    </row>
    <row r="62" spans="1:49" ht="15" customHeight="1" x14ac:dyDescent="0.2">
      <c r="B62" s="102"/>
      <c r="C62" s="116"/>
      <c r="D62" s="104"/>
      <c r="E62" s="104"/>
      <c r="F62" s="206" t="s">
        <v>90</v>
      </c>
      <c r="G62" s="211"/>
      <c r="H62" s="212">
        <f>H29+H47</f>
        <v>816841</v>
      </c>
      <c r="I62" s="211"/>
      <c r="J62" s="104"/>
      <c r="K62" s="206" t="s">
        <v>90</v>
      </c>
      <c r="L62" s="211"/>
      <c r="M62" s="212">
        <f>M29+M47</f>
        <v>751296</v>
      </c>
      <c r="N62" s="211"/>
      <c r="O62" s="206" t="s">
        <v>90</v>
      </c>
      <c r="P62" s="211"/>
      <c r="Q62" s="212">
        <f>Q29+Q47</f>
        <v>773834.88</v>
      </c>
      <c r="R62" s="211"/>
      <c r="S62" s="206" t="s">
        <v>90</v>
      </c>
      <c r="T62" s="211"/>
      <c r="U62" s="212">
        <f>U29+U47</f>
        <v>797049.9264</v>
      </c>
      <c r="V62" s="211"/>
      <c r="W62" s="206" t="s">
        <v>90</v>
      </c>
      <c r="X62" s="211"/>
      <c r="Y62" s="212">
        <f>Y29+Y47</f>
        <v>872461.41969200002</v>
      </c>
      <c r="Z62" s="211"/>
      <c r="AA62" s="206" t="s">
        <v>90</v>
      </c>
      <c r="AB62" s="211"/>
      <c r="AC62" s="212">
        <f>AC29+AC47</f>
        <v>898635.26228276</v>
      </c>
      <c r="AD62" s="136"/>
      <c r="AE62" s="107"/>
      <c r="AF62" s="96"/>
      <c r="AG62" s="96"/>
      <c r="AH62" s="96"/>
      <c r="AI62" s="97"/>
      <c r="AJ62" s="96"/>
    </row>
    <row r="63" spans="1:49" ht="15" customHeight="1" x14ac:dyDescent="0.2">
      <c r="B63" s="102"/>
      <c r="C63" s="116"/>
      <c r="D63" s="104"/>
      <c r="E63" s="104"/>
      <c r="F63" s="206" t="s">
        <v>525</v>
      </c>
      <c r="G63" s="103"/>
      <c r="H63" s="213">
        <f>SUM(H51:H56)</f>
        <v>130948.49650000001</v>
      </c>
      <c r="I63" s="103"/>
      <c r="J63" s="104"/>
      <c r="K63" s="206" t="s">
        <v>525</v>
      </c>
      <c r="L63" s="103"/>
      <c r="M63" s="213">
        <f>SUM(M51:M56)</f>
        <v>119051.2648</v>
      </c>
      <c r="N63" s="103"/>
      <c r="O63" s="206" t="s">
        <v>525</v>
      </c>
      <c r="P63" s="103"/>
      <c r="Q63" s="213">
        <f>SUM(Q51:Q56)</f>
        <v>122622.80274400002</v>
      </c>
      <c r="R63" s="103"/>
      <c r="S63" s="206" t="s">
        <v>525</v>
      </c>
      <c r="T63" s="103"/>
      <c r="U63" s="213">
        <f>SUM(U51:U56)</f>
        <v>126301.48592960001</v>
      </c>
      <c r="V63" s="103"/>
      <c r="W63" s="206" t="s">
        <v>525</v>
      </c>
      <c r="X63" s="103"/>
      <c r="Y63" s="213">
        <f>SUM(Y51:Y56)</f>
        <v>138240.479098738</v>
      </c>
      <c r="Z63" s="103"/>
      <c r="AA63" s="206" t="s">
        <v>525</v>
      </c>
      <c r="AB63" s="103"/>
      <c r="AC63" s="213">
        <f>SUM(AC51:AC56)</f>
        <v>142387.67910870854</v>
      </c>
      <c r="AD63" s="136"/>
      <c r="AE63" s="107"/>
      <c r="AF63" s="96"/>
      <c r="AG63" s="96"/>
      <c r="AH63" s="96"/>
      <c r="AI63" s="96"/>
      <c r="AJ63" s="96"/>
    </row>
    <row r="64" spans="1:49" ht="15" customHeight="1" x14ac:dyDescent="0.2">
      <c r="B64" s="102"/>
      <c r="C64" s="116"/>
      <c r="D64" s="104"/>
      <c r="E64" s="104"/>
      <c r="F64" s="206" t="s">
        <v>91</v>
      </c>
      <c r="G64" s="103"/>
      <c r="H64" s="213">
        <f>H62+H63</f>
        <v>947789.49650000001</v>
      </c>
      <c r="I64" s="103"/>
      <c r="J64" s="104"/>
      <c r="K64" s="206" t="s">
        <v>91</v>
      </c>
      <c r="L64" s="103"/>
      <c r="M64" s="213">
        <f>M62+M63</f>
        <v>870347.2648</v>
      </c>
      <c r="N64" s="103"/>
      <c r="O64" s="206" t="s">
        <v>91</v>
      </c>
      <c r="P64" s="103"/>
      <c r="Q64" s="213">
        <f>Q62+Q63</f>
        <v>896457.68274399999</v>
      </c>
      <c r="R64" s="103"/>
      <c r="S64" s="206" t="s">
        <v>91</v>
      </c>
      <c r="T64" s="103"/>
      <c r="U64" s="213">
        <f>U62+U63</f>
        <v>923351.41232959996</v>
      </c>
      <c r="V64" s="103"/>
      <c r="W64" s="206" t="s">
        <v>91</v>
      </c>
      <c r="X64" s="103"/>
      <c r="Y64" s="213">
        <f>Y62+Y63</f>
        <v>1010701.8987907381</v>
      </c>
      <c r="Z64" s="103"/>
      <c r="AA64" s="206" t="s">
        <v>91</v>
      </c>
      <c r="AB64" s="103"/>
      <c r="AC64" s="213">
        <f>AC62+AC63</f>
        <v>1041022.9413914685</v>
      </c>
      <c r="AD64" s="136"/>
      <c r="AE64" s="107"/>
      <c r="AF64" s="96"/>
      <c r="AG64" s="96"/>
      <c r="AH64" s="96"/>
      <c r="AI64" s="96"/>
      <c r="AJ64" s="96"/>
    </row>
    <row r="65" spans="2:36" ht="15" customHeight="1" x14ac:dyDescent="0.2">
      <c r="B65" s="102"/>
      <c r="C65" s="116"/>
      <c r="D65" s="103"/>
      <c r="E65" s="104"/>
      <c r="F65" s="206" t="s">
        <v>57</v>
      </c>
      <c r="G65" s="156"/>
      <c r="H65" s="166" t="str">
        <f>IF('2. Enrollment Projections'!E35 &lt;= 0,IFERROR((ROUND('2. Enrollment Projections'!E37/(F29),0)&amp;":1"),""),IFERROR((ROUND('2. Enrollment Projections'!E36/(F29),0)&amp;":1"),""))</f>
        <v>15:1</v>
      </c>
      <c r="I65" s="156"/>
      <c r="J65" s="104"/>
      <c r="K65" s="206" t="s">
        <v>57</v>
      </c>
      <c r="L65" s="156"/>
      <c r="M65" s="166" t="str">
        <f>IF('2. Enrollment Projections'!F35 &lt;= 0,IFERROR((ROUND('2. Enrollment Projections'!F37/(K29),0)&amp;":1"),""),IFERROR((ROUND('2. Enrollment Projections'!F36/(K29),0)&amp;":1"),""))</f>
        <v>19:1</v>
      </c>
      <c r="N65" s="156"/>
      <c r="O65" s="206" t="s">
        <v>57</v>
      </c>
      <c r="P65" s="156"/>
      <c r="Q65" s="166" t="str">
        <f>IF('2. Enrollment Projections'!G35 &lt;= 0,IFERROR((ROUND('2. Enrollment Projections'!G37/(O29),0)&amp;":1"),""),IFERROR((ROUND('2. Enrollment Projections'!G36/(O29),0)&amp;":1"),""))</f>
        <v>20:1</v>
      </c>
      <c r="R65" s="156"/>
      <c r="S65" s="206" t="s">
        <v>57</v>
      </c>
      <c r="T65" s="156"/>
      <c r="U65" s="166" t="str">
        <f>IF('2. Enrollment Projections'!H35 &lt;= 0,IFERROR((ROUND('2. Enrollment Projections'!H37/(S29),0)&amp;":1"),""),IFERROR((ROUND('2. Enrollment Projections'!H36/(S29),0)&amp;":1"),""))</f>
        <v>21:1</v>
      </c>
      <c r="V65" s="156"/>
      <c r="W65" s="206" t="s">
        <v>57</v>
      </c>
      <c r="X65" s="156"/>
      <c r="Y65" s="166" t="str">
        <f>IF('2. Enrollment Projections'!I35 &lt;= 0,IFERROR((ROUND('2. Enrollment Projections'!I37/(W29),0)&amp;":1"),""),IFERROR((ROUND('2. Enrollment Projections'!I36/(W29),0)&amp;":1"),""))</f>
        <v>20:1</v>
      </c>
      <c r="Z65" s="156"/>
      <c r="AA65" s="206" t="s">
        <v>57</v>
      </c>
      <c r="AB65" s="156"/>
      <c r="AC65" s="166" t="str">
        <f>IF('2. Enrollment Projections'!J35 &lt;= 0,IFERROR((ROUND('2. Enrollment Projections'!J37/(AA29),0)&amp;":1"),""),IFERROR((ROUND('2. Enrollment Projections'!J36/(AA29),0)&amp;":1"),""))</f>
        <v>21:1</v>
      </c>
      <c r="AD65" s="136"/>
      <c r="AE65" s="107"/>
      <c r="AF65" s="96"/>
      <c r="AG65" s="96"/>
      <c r="AH65" s="96"/>
      <c r="AI65" s="96"/>
      <c r="AJ65" s="96"/>
    </row>
    <row r="66" spans="2:36" ht="15" customHeight="1" x14ac:dyDescent="0.2">
      <c r="B66" s="102"/>
      <c r="C66" s="116"/>
      <c r="D66" s="103"/>
      <c r="E66" s="104"/>
      <c r="F66" s="214" t="s">
        <v>464</v>
      </c>
      <c r="G66" s="215"/>
      <c r="H66" s="216" t="str">
        <f>IF('2. Enrollment Projections'!E35 &lt;= 0,IFERROR((ROUND('2. Enrollment Projections'!E37/(H61),0)&amp;":1"),""),IFERROR((ROUND('2. Enrollment Projections'!E36/(H61),0)&amp;":1"),""))</f>
        <v>11:1</v>
      </c>
      <c r="I66" s="156"/>
      <c r="J66" s="104"/>
      <c r="K66" s="214" t="s">
        <v>464</v>
      </c>
      <c r="L66" s="215"/>
      <c r="M66" s="216" t="str">
        <f>IF('2. Enrollment Projections'!F35 &lt;= 0,IFERROR((ROUND('2. Enrollment Projections'!F37/(M61),0)&amp;":1"),""),IFERROR((ROUND('2. Enrollment Projections'!F36/(M61),0)&amp;":1"),""))</f>
        <v>13:1</v>
      </c>
      <c r="N66" s="156"/>
      <c r="O66" s="214" t="s">
        <v>464</v>
      </c>
      <c r="P66" s="215"/>
      <c r="Q66" s="216" t="str">
        <f>IF('2. Enrollment Projections'!G35 &lt;= 0,IFERROR((ROUND('2. Enrollment Projections'!G37/(Q61),0)&amp;":1"),""),IFERROR((ROUND('2. Enrollment Projections'!G36/(Q61),0)&amp;":1"),""))</f>
        <v>14:1</v>
      </c>
      <c r="R66" s="156"/>
      <c r="S66" s="214" t="s">
        <v>464</v>
      </c>
      <c r="T66" s="215"/>
      <c r="U66" s="216" t="str">
        <f>IF('2. Enrollment Projections'!H35 &lt;= 0,IFERROR((ROUND('2. Enrollment Projections'!H37/(U61),0)&amp;":1"),""),IFERROR((ROUND('2. Enrollment Projections'!H36/(U61),0)&amp;":1"),""))</f>
        <v>14:1</v>
      </c>
      <c r="V66" s="156"/>
      <c r="W66" s="214" t="s">
        <v>464</v>
      </c>
      <c r="X66" s="215"/>
      <c r="Y66" s="216" t="str">
        <f>IF('2. Enrollment Projections'!I35 &lt;= 0,IFERROR((ROUND('2. Enrollment Projections'!I37/(Y61),0)&amp;":1"),""),IFERROR((ROUND('2. Enrollment Projections'!I36/(Y61),0)&amp;":1"),""))</f>
        <v>14:1</v>
      </c>
      <c r="Z66" s="156"/>
      <c r="AA66" s="214" t="s">
        <v>464</v>
      </c>
      <c r="AB66" s="215"/>
      <c r="AC66" s="216" t="str">
        <f>IF('2. Enrollment Projections'!J35 &lt;= 0,IFERROR((ROUND('2. Enrollment Projections'!J37/(AC61),0)&amp;":1"),""),IFERROR((ROUND('2. Enrollment Projections'!J36/(AC61),0)&amp;":1"),""))</f>
        <v>15:1</v>
      </c>
      <c r="AD66" s="136"/>
      <c r="AE66" s="107"/>
      <c r="AF66" s="101"/>
      <c r="AG66" s="101"/>
      <c r="AH66" s="101"/>
      <c r="AI66" s="101"/>
      <c r="AJ66" s="101"/>
    </row>
    <row r="67" spans="2:36" s="97" customFormat="1" ht="15" customHeight="1" x14ac:dyDescent="0.2">
      <c r="B67" s="102"/>
      <c r="C67" s="187"/>
      <c r="D67" s="217"/>
      <c r="E67" s="217"/>
      <c r="F67" s="190"/>
      <c r="G67" s="190"/>
      <c r="H67" s="190"/>
      <c r="I67" s="190"/>
      <c r="J67" s="217"/>
      <c r="K67" s="190"/>
      <c r="L67" s="190"/>
      <c r="M67" s="190"/>
      <c r="N67" s="190"/>
      <c r="O67" s="190"/>
      <c r="P67" s="190"/>
      <c r="Q67" s="190"/>
      <c r="R67" s="190"/>
      <c r="S67" s="190"/>
      <c r="T67" s="190"/>
      <c r="U67" s="190"/>
      <c r="V67" s="190"/>
      <c r="W67" s="190"/>
      <c r="X67" s="190"/>
      <c r="Y67" s="190"/>
      <c r="Z67" s="190"/>
      <c r="AA67" s="190"/>
      <c r="AB67" s="190"/>
      <c r="AC67" s="190"/>
      <c r="AD67" s="194"/>
      <c r="AE67" s="107"/>
    </row>
    <row r="68" spans="2:36" s="97" customFormat="1" ht="15" customHeight="1" x14ac:dyDescent="0.2">
      <c r="B68" s="102"/>
      <c r="C68" s="103"/>
      <c r="D68" s="336"/>
      <c r="E68" s="336"/>
      <c r="F68" s="103"/>
      <c r="G68" s="103"/>
      <c r="H68" s="103"/>
      <c r="I68" s="103"/>
      <c r="J68" s="336"/>
      <c r="K68" s="103"/>
      <c r="L68" s="103"/>
      <c r="M68" s="103"/>
      <c r="N68" s="103"/>
      <c r="O68" s="103"/>
      <c r="P68" s="103"/>
      <c r="Q68" s="103"/>
      <c r="R68" s="103"/>
      <c r="S68" s="103"/>
      <c r="T68" s="103"/>
      <c r="U68" s="103"/>
      <c r="V68" s="103"/>
      <c r="W68" s="103"/>
      <c r="X68" s="103"/>
      <c r="Y68" s="103"/>
      <c r="Z68" s="103"/>
      <c r="AA68" s="103"/>
      <c r="AB68" s="103"/>
      <c r="AC68" s="103"/>
      <c r="AD68" s="103"/>
      <c r="AE68" s="107"/>
    </row>
    <row r="69" spans="2:36" s="97" customFormat="1" ht="15" customHeight="1" x14ac:dyDescent="0.25">
      <c r="B69" s="102"/>
      <c r="C69" s="467" t="s">
        <v>412</v>
      </c>
      <c r="D69" s="468"/>
      <c r="E69" s="468"/>
      <c r="F69" s="468"/>
      <c r="G69" s="468"/>
      <c r="H69" s="468"/>
      <c r="I69" s="468"/>
      <c r="J69" s="468"/>
      <c r="K69" s="468"/>
      <c r="L69" s="468"/>
      <c r="M69" s="468"/>
      <c r="N69" s="468"/>
      <c r="O69" s="468"/>
      <c r="P69" s="468"/>
      <c r="Q69" s="468"/>
      <c r="R69" s="468"/>
      <c r="S69" s="468"/>
      <c r="T69" s="468"/>
      <c r="U69" s="468"/>
      <c r="V69" s="468"/>
      <c r="W69" s="469"/>
      <c r="X69" s="103"/>
      <c r="Y69" s="103"/>
      <c r="Z69" s="103"/>
      <c r="AA69" s="103"/>
      <c r="AB69" s="103"/>
      <c r="AC69" s="103"/>
      <c r="AD69" s="103"/>
      <c r="AE69" s="107"/>
    </row>
    <row r="70" spans="2:36" s="97" customFormat="1" ht="15" customHeight="1" x14ac:dyDescent="0.2">
      <c r="B70" s="102"/>
      <c r="C70" s="470" t="s">
        <v>526</v>
      </c>
      <c r="D70" s="471"/>
      <c r="E70" s="471"/>
      <c r="F70" s="471"/>
      <c r="G70" s="471"/>
      <c r="H70" s="471"/>
      <c r="I70" s="471"/>
      <c r="J70" s="471"/>
      <c r="K70" s="471"/>
      <c r="L70" s="471"/>
      <c r="M70" s="471"/>
      <c r="N70" s="471"/>
      <c r="O70" s="471"/>
      <c r="P70" s="471"/>
      <c r="Q70" s="471"/>
      <c r="R70" s="471"/>
      <c r="S70" s="471"/>
      <c r="T70" s="471"/>
      <c r="U70" s="471"/>
      <c r="V70" s="471"/>
      <c r="W70" s="472"/>
      <c r="X70" s="103"/>
      <c r="Y70" s="103"/>
      <c r="Z70" s="103"/>
      <c r="AA70" s="103"/>
      <c r="AB70" s="103"/>
      <c r="AC70" s="103"/>
      <c r="AD70" s="103"/>
      <c r="AE70" s="107"/>
    </row>
    <row r="71" spans="2:36" s="97" customFormat="1" ht="15" customHeight="1" x14ac:dyDescent="0.2">
      <c r="B71" s="102"/>
      <c r="C71" s="473"/>
      <c r="D71" s="471"/>
      <c r="E71" s="471"/>
      <c r="F71" s="471"/>
      <c r="G71" s="471"/>
      <c r="H71" s="471"/>
      <c r="I71" s="471"/>
      <c r="J71" s="471"/>
      <c r="K71" s="471"/>
      <c r="L71" s="471"/>
      <c r="M71" s="471"/>
      <c r="N71" s="471"/>
      <c r="O71" s="471"/>
      <c r="P71" s="471"/>
      <c r="Q71" s="471"/>
      <c r="R71" s="471"/>
      <c r="S71" s="471"/>
      <c r="T71" s="471"/>
      <c r="U71" s="471"/>
      <c r="V71" s="471"/>
      <c r="W71" s="472"/>
      <c r="X71" s="103"/>
      <c r="Y71" s="103"/>
      <c r="Z71" s="103"/>
      <c r="AA71" s="103"/>
      <c r="AB71" s="103"/>
      <c r="AC71" s="103"/>
      <c r="AD71" s="103"/>
      <c r="AE71" s="107"/>
    </row>
    <row r="72" spans="2:36" s="97" customFormat="1" ht="15" customHeight="1" x14ac:dyDescent="0.2">
      <c r="B72" s="102"/>
      <c r="C72" s="473"/>
      <c r="D72" s="471"/>
      <c r="E72" s="471"/>
      <c r="F72" s="471"/>
      <c r="G72" s="471"/>
      <c r="H72" s="471"/>
      <c r="I72" s="471"/>
      <c r="J72" s="471"/>
      <c r="K72" s="471"/>
      <c r="L72" s="471"/>
      <c r="M72" s="471"/>
      <c r="N72" s="471"/>
      <c r="O72" s="471"/>
      <c r="P72" s="471"/>
      <c r="Q72" s="471"/>
      <c r="R72" s="471"/>
      <c r="S72" s="471"/>
      <c r="T72" s="471"/>
      <c r="U72" s="471"/>
      <c r="V72" s="471"/>
      <c r="W72" s="472"/>
      <c r="X72" s="103"/>
      <c r="Y72" s="103"/>
      <c r="Z72" s="103"/>
      <c r="AA72" s="103"/>
      <c r="AB72" s="103"/>
      <c r="AC72" s="103"/>
      <c r="AD72" s="103"/>
      <c r="AE72" s="107"/>
    </row>
    <row r="73" spans="2:36" s="97" customFormat="1" ht="15" customHeight="1" x14ac:dyDescent="0.2">
      <c r="B73" s="102"/>
      <c r="C73" s="473"/>
      <c r="D73" s="471"/>
      <c r="E73" s="471"/>
      <c r="F73" s="471"/>
      <c r="G73" s="471"/>
      <c r="H73" s="471"/>
      <c r="I73" s="471"/>
      <c r="J73" s="471"/>
      <c r="K73" s="471"/>
      <c r="L73" s="471"/>
      <c r="M73" s="471"/>
      <c r="N73" s="471"/>
      <c r="O73" s="471"/>
      <c r="P73" s="471"/>
      <c r="Q73" s="471"/>
      <c r="R73" s="471"/>
      <c r="S73" s="471"/>
      <c r="T73" s="471"/>
      <c r="U73" s="471"/>
      <c r="V73" s="471"/>
      <c r="W73" s="472"/>
      <c r="X73" s="103"/>
      <c r="Y73" s="103"/>
      <c r="Z73" s="103"/>
      <c r="AA73" s="103"/>
      <c r="AB73" s="103"/>
      <c r="AC73" s="103"/>
      <c r="AD73" s="103"/>
      <c r="AE73" s="107"/>
    </row>
    <row r="74" spans="2:36" s="97" customFormat="1" ht="15" customHeight="1" x14ac:dyDescent="0.2">
      <c r="B74" s="102"/>
      <c r="C74" s="473"/>
      <c r="D74" s="471"/>
      <c r="E74" s="471"/>
      <c r="F74" s="471"/>
      <c r="G74" s="471"/>
      <c r="H74" s="471"/>
      <c r="I74" s="471"/>
      <c r="J74" s="471"/>
      <c r="K74" s="471"/>
      <c r="L74" s="471"/>
      <c r="M74" s="471"/>
      <c r="N74" s="471"/>
      <c r="O74" s="471"/>
      <c r="P74" s="471"/>
      <c r="Q74" s="471"/>
      <c r="R74" s="471"/>
      <c r="S74" s="471"/>
      <c r="T74" s="471"/>
      <c r="U74" s="471"/>
      <c r="V74" s="471"/>
      <c r="W74" s="472"/>
      <c r="X74" s="103"/>
      <c r="Y74" s="103"/>
      <c r="Z74" s="103"/>
      <c r="AA74" s="103"/>
      <c r="AB74" s="103"/>
      <c r="AC74" s="103"/>
      <c r="AD74" s="103"/>
      <c r="AE74" s="107"/>
    </row>
    <row r="75" spans="2:36" s="97" customFormat="1" ht="15" customHeight="1" x14ac:dyDescent="0.2">
      <c r="B75" s="102"/>
      <c r="C75" s="473"/>
      <c r="D75" s="471"/>
      <c r="E75" s="471"/>
      <c r="F75" s="471"/>
      <c r="G75" s="471"/>
      <c r="H75" s="471"/>
      <c r="I75" s="471"/>
      <c r="J75" s="471"/>
      <c r="K75" s="471"/>
      <c r="L75" s="471"/>
      <c r="M75" s="471"/>
      <c r="N75" s="471"/>
      <c r="O75" s="471"/>
      <c r="P75" s="471"/>
      <c r="Q75" s="471"/>
      <c r="R75" s="471"/>
      <c r="S75" s="471"/>
      <c r="T75" s="471"/>
      <c r="U75" s="471"/>
      <c r="V75" s="471"/>
      <c r="W75" s="472"/>
      <c r="X75" s="103"/>
      <c r="Y75" s="103"/>
      <c r="Z75" s="103"/>
      <c r="AA75" s="103"/>
      <c r="AB75" s="103"/>
      <c r="AC75" s="103"/>
      <c r="AD75" s="103"/>
      <c r="AE75" s="107"/>
    </row>
    <row r="76" spans="2:36" s="97" customFormat="1" ht="15" customHeight="1" x14ac:dyDescent="0.2">
      <c r="B76" s="102"/>
      <c r="C76" s="473"/>
      <c r="D76" s="471"/>
      <c r="E76" s="471"/>
      <c r="F76" s="471"/>
      <c r="G76" s="471"/>
      <c r="H76" s="471"/>
      <c r="I76" s="471"/>
      <c r="J76" s="471"/>
      <c r="K76" s="471"/>
      <c r="L76" s="471"/>
      <c r="M76" s="471"/>
      <c r="N76" s="471"/>
      <c r="O76" s="471"/>
      <c r="P76" s="471"/>
      <c r="Q76" s="471"/>
      <c r="R76" s="471"/>
      <c r="S76" s="471"/>
      <c r="T76" s="471"/>
      <c r="U76" s="471"/>
      <c r="V76" s="471"/>
      <c r="W76" s="472"/>
      <c r="X76" s="103"/>
      <c r="Y76" s="103"/>
      <c r="Z76" s="103"/>
      <c r="AA76" s="103"/>
      <c r="AB76" s="103"/>
      <c r="AC76" s="103"/>
      <c r="AD76" s="103"/>
      <c r="AE76" s="107"/>
    </row>
    <row r="77" spans="2:36" s="97" customFormat="1" ht="15" customHeight="1" x14ac:dyDescent="0.2">
      <c r="B77" s="102"/>
      <c r="C77" s="473"/>
      <c r="D77" s="471"/>
      <c r="E77" s="471"/>
      <c r="F77" s="471"/>
      <c r="G77" s="471"/>
      <c r="H77" s="471"/>
      <c r="I77" s="471"/>
      <c r="J77" s="471"/>
      <c r="K77" s="471"/>
      <c r="L77" s="471"/>
      <c r="M77" s="471"/>
      <c r="N77" s="471"/>
      <c r="O77" s="471"/>
      <c r="P77" s="471"/>
      <c r="Q77" s="471"/>
      <c r="R77" s="471"/>
      <c r="S77" s="471"/>
      <c r="T77" s="471"/>
      <c r="U77" s="471"/>
      <c r="V77" s="471"/>
      <c r="W77" s="472"/>
      <c r="X77" s="103"/>
      <c r="Y77" s="103"/>
      <c r="Z77" s="103"/>
      <c r="AA77" s="103"/>
      <c r="AB77" s="103"/>
      <c r="AC77" s="103"/>
      <c r="AD77" s="103"/>
      <c r="AE77" s="107"/>
    </row>
    <row r="78" spans="2:36" s="97" customFormat="1" ht="15" customHeight="1" x14ac:dyDescent="0.2">
      <c r="B78" s="102"/>
      <c r="C78" s="473"/>
      <c r="D78" s="471"/>
      <c r="E78" s="471"/>
      <c r="F78" s="471"/>
      <c r="G78" s="471"/>
      <c r="H78" s="471"/>
      <c r="I78" s="471"/>
      <c r="J78" s="471"/>
      <c r="K78" s="471"/>
      <c r="L78" s="471"/>
      <c r="M78" s="471"/>
      <c r="N78" s="471"/>
      <c r="O78" s="471"/>
      <c r="P78" s="471"/>
      <c r="Q78" s="471"/>
      <c r="R78" s="471"/>
      <c r="S78" s="471"/>
      <c r="T78" s="471"/>
      <c r="U78" s="471"/>
      <c r="V78" s="471"/>
      <c r="W78" s="472"/>
      <c r="X78" s="103"/>
      <c r="Y78" s="103"/>
      <c r="Z78" s="103"/>
      <c r="AA78" s="103"/>
      <c r="AB78" s="103"/>
      <c r="AC78" s="103"/>
      <c r="AD78" s="103"/>
      <c r="AE78" s="107"/>
    </row>
    <row r="79" spans="2:36" s="97" customFormat="1" ht="15" customHeight="1" x14ac:dyDescent="0.2">
      <c r="B79" s="102"/>
      <c r="C79" s="473"/>
      <c r="D79" s="471"/>
      <c r="E79" s="471"/>
      <c r="F79" s="471"/>
      <c r="G79" s="471"/>
      <c r="H79" s="471"/>
      <c r="I79" s="471"/>
      <c r="J79" s="471"/>
      <c r="K79" s="471"/>
      <c r="L79" s="471"/>
      <c r="M79" s="471"/>
      <c r="N79" s="471"/>
      <c r="O79" s="471"/>
      <c r="P79" s="471"/>
      <c r="Q79" s="471"/>
      <c r="R79" s="471"/>
      <c r="S79" s="471"/>
      <c r="T79" s="471"/>
      <c r="U79" s="471"/>
      <c r="V79" s="471"/>
      <c r="W79" s="472"/>
      <c r="X79" s="103"/>
      <c r="Y79" s="103"/>
      <c r="Z79" s="103"/>
      <c r="AA79" s="103"/>
      <c r="AB79" s="103"/>
      <c r="AC79" s="103"/>
      <c r="AD79" s="103"/>
      <c r="AE79" s="107"/>
    </row>
    <row r="80" spans="2:36" s="97" customFormat="1" ht="15" customHeight="1" x14ac:dyDescent="0.2">
      <c r="B80" s="102"/>
      <c r="C80" s="473"/>
      <c r="D80" s="471"/>
      <c r="E80" s="471"/>
      <c r="F80" s="471"/>
      <c r="G80" s="471"/>
      <c r="H80" s="471"/>
      <c r="I80" s="471"/>
      <c r="J80" s="471"/>
      <c r="K80" s="471"/>
      <c r="L80" s="471"/>
      <c r="M80" s="471"/>
      <c r="N80" s="471"/>
      <c r="O80" s="471"/>
      <c r="P80" s="471"/>
      <c r="Q80" s="471"/>
      <c r="R80" s="471"/>
      <c r="S80" s="471"/>
      <c r="T80" s="471"/>
      <c r="U80" s="471"/>
      <c r="V80" s="471"/>
      <c r="W80" s="472"/>
      <c r="X80" s="103"/>
      <c r="Y80" s="103"/>
      <c r="Z80" s="103"/>
      <c r="AA80" s="103"/>
      <c r="AB80" s="103"/>
      <c r="AC80" s="103"/>
      <c r="AD80" s="103"/>
      <c r="AE80" s="107"/>
    </row>
    <row r="81" spans="2:31" s="97" customFormat="1" ht="15" customHeight="1" x14ac:dyDescent="0.2">
      <c r="B81" s="102"/>
      <c r="C81" s="474"/>
      <c r="D81" s="475"/>
      <c r="E81" s="475"/>
      <c r="F81" s="475"/>
      <c r="G81" s="475"/>
      <c r="H81" s="475"/>
      <c r="I81" s="475"/>
      <c r="J81" s="475"/>
      <c r="K81" s="475"/>
      <c r="L81" s="475"/>
      <c r="M81" s="475"/>
      <c r="N81" s="475"/>
      <c r="O81" s="475"/>
      <c r="P81" s="475"/>
      <c r="Q81" s="475"/>
      <c r="R81" s="475"/>
      <c r="S81" s="475"/>
      <c r="T81" s="475"/>
      <c r="U81" s="475"/>
      <c r="V81" s="475"/>
      <c r="W81" s="476"/>
      <c r="X81" s="103"/>
      <c r="Y81" s="103"/>
      <c r="Z81" s="103"/>
      <c r="AA81" s="103"/>
      <c r="AB81" s="103"/>
      <c r="AC81" s="103"/>
      <c r="AD81" s="103"/>
      <c r="AE81" s="107"/>
    </row>
    <row r="82" spans="2:31" ht="13.5" thickBot="1" x14ac:dyDescent="0.25">
      <c r="B82" s="218"/>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20"/>
    </row>
    <row r="83" spans="2:31" x14ac:dyDescent="0.2">
      <c r="B83" s="96"/>
      <c r="C83" s="96"/>
      <c r="D83" s="96"/>
      <c r="F83" s="96"/>
      <c r="G83" s="96"/>
      <c r="H83" s="96"/>
      <c r="K83" s="96"/>
      <c r="L83" s="96"/>
      <c r="M83" s="96"/>
      <c r="O83" s="96"/>
      <c r="P83" s="96"/>
      <c r="Q83" s="96"/>
      <c r="S83" s="96"/>
      <c r="T83" s="96"/>
      <c r="U83" s="96"/>
      <c r="W83" s="96"/>
      <c r="X83" s="96"/>
      <c r="Y83" s="96"/>
    </row>
    <row r="84" spans="2:31" x14ac:dyDescent="0.2">
      <c r="B84" s="96"/>
      <c r="C84" s="96"/>
      <c r="D84" s="96"/>
      <c r="F84" s="45"/>
      <c r="G84" s="96"/>
      <c r="H84" s="96"/>
      <c r="K84" s="45"/>
      <c r="L84" s="96"/>
      <c r="M84" s="96"/>
      <c r="O84" s="96"/>
      <c r="P84" s="96"/>
      <c r="Q84" s="96"/>
      <c r="S84" s="96"/>
      <c r="T84" s="96"/>
      <c r="U84" s="96"/>
      <c r="W84" s="96"/>
      <c r="X84" s="96"/>
      <c r="Y84" s="96"/>
    </row>
    <row r="85" spans="2:31" x14ac:dyDescent="0.2">
      <c r="B85" s="96"/>
      <c r="C85" s="96"/>
      <c r="D85" s="96"/>
      <c r="F85" s="45"/>
      <c r="G85" s="221"/>
      <c r="H85" s="96"/>
      <c r="K85" s="45"/>
      <c r="L85" s="221"/>
      <c r="M85" s="96"/>
      <c r="O85" s="96"/>
      <c r="P85" s="96"/>
      <c r="Q85" s="96"/>
      <c r="S85" s="96"/>
      <c r="T85" s="96"/>
      <c r="U85" s="96"/>
      <c r="W85" s="96"/>
      <c r="X85" s="96"/>
      <c r="Y85" s="96"/>
    </row>
    <row r="86" spans="2:31" x14ac:dyDescent="0.2">
      <c r="B86" s="96"/>
      <c r="C86" s="96"/>
      <c r="D86" s="96"/>
      <c r="F86" s="96"/>
      <c r="G86" s="96"/>
      <c r="H86" s="96"/>
      <c r="K86" s="96"/>
      <c r="L86" s="96"/>
      <c r="M86" s="96"/>
      <c r="O86" s="96"/>
      <c r="P86" s="96"/>
      <c r="Q86" s="96"/>
      <c r="S86" s="96"/>
      <c r="T86" s="96"/>
      <c r="U86" s="96"/>
      <c r="W86" s="96"/>
      <c r="X86" s="96"/>
      <c r="Y86" s="96"/>
    </row>
    <row r="87" spans="2:31" x14ac:dyDescent="0.2">
      <c r="B87" s="96"/>
      <c r="C87" s="96"/>
      <c r="D87" s="96"/>
      <c r="F87" s="96"/>
      <c r="G87" s="96"/>
      <c r="H87" s="96"/>
      <c r="K87" s="96"/>
      <c r="L87" s="96"/>
      <c r="M87" s="96"/>
      <c r="O87" s="96"/>
      <c r="P87" s="96"/>
      <c r="Q87" s="96"/>
      <c r="S87" s="96"/>
      <c r="T87" s="96"/>
      <c r="U87" s="96"/>
      <c r="W87" s="96"/>
      <c r="X87" s="96"/>
      <c r="Y87" s="96"/>
    </row>
    <row r="88" spans="2:31" x14ac:dyDescent="0.2">
      <c r="B88" s="96"/>
      <c r="C88" s="96"/>
      <c r="D88" s="96"/>
      <c r="F88" s="96"/>
      <c r="G88" s="337"/>
      <c r="H88" s="96"/>
      <c r="K88" s="96"/>
      <c r="L88" s="337"/>
      <c r="M88" s="96"/>
      <c r="O88" s="96"/>
      <c r="P88" s="96"/>
      <c r="Q88" s="96"/>
      <c r="S88" s="96"/>
      <c r="T88" s="96"/>
      <c r="U88" s="96"/>
      <c r="W88" s="96"/>
      <c r="X88" s="96"/>
      <c r="Y88" s="96"/>
    </row>
    <row r="89" spans="2:31" x14ac:dyDescent="0.2">
      <c r="B89" s="96"/>
      <c r="C89" s="96"/>
      <c r="D89" s="96"/>
      <c r="F89" s="96"/>
      <c r="G89" s="96"/>
      <c r="H89" s="96"/>
      <c r="K89" s="96"/>
      <c r="L89" s="96"/>
      <c r="M89" s="96"/>
      <c r="O89" s="96"/>
      <c r="P89" s="96"/>
      <c r="Q89" s="96"/>
      <c r="S89" s="96"/>
      <c r="T89" s="96"/>
      <c r="U89" s="96"/>
      <c r="W89" s="96"/>
      <c r="X89" s="96"/>
      <c r="Y89" s="96"/>
    </row>
    <row r="90" spans="2:31" x14ac:dyDescent="0.2">
      <c r="B90" s="96"/>
      <c r="C90" s="96"/>
      <c r="D90" s="96"/>
      <c r="F90" s="96"/>
      <c r="G90" s="96"/>
      <c r="H90" s="96"/>
      <c r="K90" s="96"/>
      <c r="L90" s="96"/>
      <c r="M90" s="96"/>
      <c r="O90" s="96"/>
      <c r="P90" s="96"/>
      <c r="Q90" s="96"/>
      <c r="S90" s="96"/>
      <c r="T90" s="96"/>
      <c r="U90" s="96"/>
      <c r="W90" s="96"/>
      <c r="X90" s="96"/>
      <c r="Y90" s="96"/>
    </row>
    <row r="91" spans="2:31" x14ac:dyDescent="0.2">
      <c r="B91" s="96"/>
      <c r="C91" s="96"/>
      <c r="D91" s="96"/>
      <c r="F91" s="96"/>
      <c r="G91" s="96"/>
      <c r="H91" s="96"/>
      <c r="K91" s="96"/>
      <c r="L91" s="96"/>
      <c r="M91" s="96"/>
      <c r="O91" s="96"/>
      <c r="P91" s="96"/>
      <c r="Q91" s="96"/>
      <c r="S91" s="96"/>
      <c r="T91" s="96"/>
      <c r="U91" s="96"/>
      <c r="W91" s="96"/>
      <c r="X91" s="96"/>
      <c r="Y91" s="96"/>
    </row>
    <row r="92" spans="2:31" x14ac:dyDescent="0.2">
      <c r="B92" s="96"/>
      <c r="C92" s="96"/>
      <c r="D92" s="96"/>
      <c r="F92" s="96"/>
      <c r="G92" s="96"/>
      <c r="H92" s="96"/>
      <c r="K92" s="96"/>
      <c r="L92" s="96"/>
      <c r="M92" s="96"/>
      <c r="O92" s="96"/>
      <c r="P92" s="96"/>
      <c r="Q92" s="96"/>
      <c r="S92" s="96"/>
      <c r="T92" s="96"/>
      <c r="U92" s="96"/>
      <c r="W92" s="96"/>
      <c r="X92" s="96"/>
      <c r="Y92" s="96"/>
    </row>
    <row r="93" spans="2:31" x14ac:dyDescent="0.2">
      <c r="B93" s="96"/>
      <c r="C93" s="96"/>
      <c r="D93" s="96"/>
      <c r="F93" s="96"/>
      <c r="G93" s="96"/>
      <c r="H93" s="96"/>
      <c r="K93" s="96"/>
      <c r="L93" s="96"/>
      <c r="M93" s="96"/>
      <c r="O93" s="96"/>
      <c r="P93" s="96"/>
      <c r="Q93" s="96"/>
      <c r="S93" s="96"/>
      <c r="T93" s="96"/>
      <c r="U93" s="96"/>
      <c r="W93" s="96"/>
      <c r="X93" s="96"/>
      <c r="Y93" s="96"/>
    </row>
    <row r="94" spans="2:31" x14ac:dyDescent="0.2">
      <c r="B94" s="96"/>
      <c r="C94" s="96"/>
      <c r="D94" s="96"/>
      <c r="F94" s="96"/>
      <c r="G94" s="96"/>
      <c r="H94" s="96"/>
      <c r="K94" s="96"/>
      <c r="L94" s="96"/>
      <c r="M94" s="96"/>
      <c r="O94" s="96"/>
      <c r="P94" s="96"/>
      <c r="Q94" s="96"/>
      <c r="S94" s="96"/>
      <c r="T94" s="96"/>
      <c r="U94" s="96"/>
      <c r="W94" s="96"/>
      <c r="X94" s="96"/>
      <c r="Y94" s="96"/>
    </row>
    <row r="95" spans="2:31" x14ac:dyDescent="0.2">
      <c r="B95" s="96"/>
      <c r="C95" s="96"/>
      <c r="D95" s="96"/>
      <c r="F95" s="96"/>
      <c r="G95" s="96"/>
      <c r="H95" s="96"/>
      <c r="K95" s="96"/>
      <c r="L95" s="96"/>
      <c r="M95" s="96"/>
      <c r="O95" s="96"/>
      <c r="P95" s="96"/>
      <c r="Q95" s="96"/>
      <c r="S95" s="96"/>
      <c r="T95" s="96"/>
      <c r="U95" s="96"/>
      <c r="W95" s="96"/>
      <c r="X95" s="96"/>
      <c r="Y95" s="96"/>
    </row>
    <row r="96" spans="2:31" x14ac:dyDescent="0.2">
      <c r="B96" s="96"/>
      <c r="C96" s="96"/>
      <c r="D96" s="96"/>
      <c r="F96" s="96"/>
      <c r="G96" s="96"/>
      <c r="H96" s="96"/>
      <c r="K96" s="96"/>
      <c r="L96" s="96"/>
      <c r="M96" s="96"/>
      <c r="O96" s="96"/>
      <c r="P96" s="96"/>
      <c r="Q96" s="96"/>
      <c r="S96" s="96"/>
      <c r="T96" s="96"/>
      <c r="U96" s="96"/>
      <c r="W96" s="96"/>
      <c r="X96" s="96"/>
      <c r="Y96" s="96"/>
    </row>
    <row r="97" spans="2:25" x14ac:dyDescent="0.2">
      <c r="B97" s="96"/>
      <c r="C97" s="96"/>
      <c r="D97" s="96"/>
      <c r="F97" s="96"/>
      <c r="G97" s="96"/>
      <c r="H97" s="96"/>
      <c r="K97" s="96"/>
      <c r="L97" s="96"/>
      <c r="M97" s="96"/>
      <c r="O97" s="96"/>
      <c r="P97" s="96"/>
      <c r="Q97" s="96"/>
      <c r="S97" s="96"/>
      <c r="T97" s="96"/>
      <c r="U97" s="96"/>
      <c r="W97" s="96"/>
      <c r="X97" s="96"/>
      <c r="Y97" s="96"/>
    </row>
    <row r="98" spans="2:25" x14ac:dyDescent="0.2">
      <c r="B98" s="96"/>
      <c r="C98" s="96"/>
      <c r="D98" s="96"/>
      <c r="F98" s="96"/>
      <c r="G98" s="96"/>
      <c r="H98" s="96"/>
      <c r="K98" s="96"/>
      <c r="L98" s="96"/>
      <c r="M98" s="96"/>
      <c r="O98" s="96"/>
      <c r="P98" s="96"/>
      <c r="Q98" s="96"/>
      <c r="S98" s="96"/>
      <c r="T98" s="96"/>
      <c r="U98" s="96"/>
      <c r="W98" s="96"/>
      <c r="X98" s="96"/>
      <c r="Y98" s="96"/>
    </row>
    <row r="99" spans="2:25" x14ac:dyDescent="0.2">
      <c r="B99" s="96"/>
      <c r="C99" s="96"/>
      <c r="D99" s="96"/>
      <c r="F99" s="96"/>
      <c r="G99" s="96"/>
      <c r="H99" s="96"/>
      <c r="K99" s="96"/>
      <c r="L99" s="96"/>
      <c r="M99" s="96"/>
      <c r="O99" s="96"/>
      <c r="P99" s="96"/>
      <c r="Q99" s="96"/>
      <c r="S99" s="96"/>
      <c r="T99" s="96"/>
      <c r="U99" s="96"/>
      <c r="W99" s="96"/>
      <c r="X99" s="96"/>
      <c r="Y99" s="96"/>
    </row>
    <row r="100" spans="2:25" x14ac:dyDescent="0.2">
      <c r="B100" s="96"/>
      <c r="C100" s="96"/>
      <c r="D100" s="96"/>
      <c r="F100" s="96"/>
      <c r="G100" s="96"/>
      <c r="H100" s="96"/>
      <c r="K100" s="96"/>
      <c r="L100" s="96"/>
      <c r="M100" s="96"/>
      <c r="O100" s="96"/>
      <c r="P100" s="96"/>
      <c r="Q100" s="96"/>
      <c r="S100" s="96"/>
      <c r="T100" s="96"/>
      <c r="U100" s="96"/>
      <c r="W100" s="96"/>
      <c r="X100" s="96"/>
      <c r="Y100" s="96"/>
    </row>
    <row r="101" spans="2:25" x14ac:dyDescent="0.2">
      <c r="B101" s="96"/>
      <c r="C101" s="96"/>
      <c r="D101" s="96"/>
      <c r="F101" s="96"/>
      <c r="G101" s="96"/>
      <c r="H101" s="96"/>
      <c r="K101" s="96"/>
      <c r="L101" s="96"/>
      <c r="M101" s="96"/>
      <c r="O101" s="96"/>
      <c r="P101" s="96"/>
      <c r="Q101" s="96"/>
      <c r="S101" s="96"/>
      <c r="T101" s="96"/>
      <c r="U101" s="96"/>
      <c r="W101" s="96"/>
      <c r="X101" s="96"/>
      <c r="Y101" s="96"/>
    </row>
    <row r="102" spans="2:25" x14ac:dyDescent="0.2">
      <c r="B102" s="96"/>
      <c r="C102" s="96"/>
      <c r="D102" s="96"/>
      <c r="F102" s="96"/>
      <c r="G102" s="96"/>
      <c r="H102" s="96"/>
      <c r="K102" s="96"/>
      <c r="L102" s="96"/>
      <c r="M102" s="96"/>
      <c r="O102" s="96"/>
      <c r="P102" s="96"/>
      <c r="Q102" s="96"/>
      <c r="S102" s="96"/>
      <c r="T102" s="96"/>
      <c r="U102" s="96"/>
      <c r="W102" s="96"/>
      <c r="X102" s="96"/>
      <c r="Y102" s="96"/>
    </row>
    <row r="103" spans="2:25" x14ac:dyDescent="0.2">
      <c r="B103" s="96"/>
      <c r="C103" s="96"/>
      <c r="D103" s="96"/>
      <c r="F103" s="96"/>
      <c r="G103" s="96"/>
      <c r="H103" s="96"/>
      <c r="K103" s="96"/>
      <c r="L103" s="96"/>
      <c r="M103" s="96"/>
      <c r="O103" s="96"/>
      <c r="P103" s="96"/>
      <c r="Q103" s="96"/>
      <c r="S103" s="96"/>
      <c r="T103" s="96"/>
      <c r="U103" s="96"/>
      <c r="W103" s="96"/>
      <c r="X103" s="96"/>
      <c r="Y103" s="96"/>
    </row>
    <row r="104" spans="2:25" x14ac:dyDescent="0.2">
      <c r="B104" s="96"/>
      <c r="C104" s="96"/>
      <c r="D104" s="96"/>
      <c r="F104" s="96"/>
      <c r="G104" s="96"/>
      <c r="H104" s="96"/>
      <c r="K104" s="96"/>
      <c r="L104" s="96"/>
      <c r="M104" s="96"/>
      <c r="O104" s="96"/>
      <c r="P104" s="96"/>
      <c r="Q104" s="96"/>
      <c r="S104" s="96"/>
      <c r="T104" s="96"/>
      <c r="U104" s="96"/>
      <c r="W104" s="96"/>
      <c r="X104" s="96"/>
      <c r="Y104" s="96"/>
    </row>
    <row r="105" spans="2:25" x14ac:dyDescent="0.2">
      <c r="B105" s="96"/>
      <c r="C105" s="96"/>
      <c r="D105" s="96"/>
      <c r="F105" s="96"/>
      <c r="G105" s="96"/>
      <c r="H105" s="96"/>
      <c r="K105" s="96"/>
      <c r="L105" s="96"/>
      <c r="M105" s="96"/>
      <c r="O105" s="96"/>
      <c r="P105" s="96"/>
      <c r="Q105" s="96"/>
      <c r="S105" s="96"/>
      <c r="T105" s="96"/>
      <c r="U105" s="96"/>
      <c r="W105" s="96"/>
      <c r="X105" s="96"/>
      <c r="Y105" s="96"/>
    </row>
    <row r="106" spans="2:25" x14ac:dyDescent="0.2">
      <c r="B106" s="96"/>
      <c r="C106" s="96"/>
      <c r="D106" s="96"/>
      <c r="F106" s="96"/>
      <c r="G106" s="96"/>
      <c r="H106" s="96"/>
      <c r="K106" s="96"/>
      <c r="L106" s="96"/>
      <c r="M106" s="96"/>
      <c r="O106" s="96"/>
      <c r="P106" s="96"/>
      <c r="Q106" s="96"/>
      <c r="S106" s="96"/>
      <c r="T106" s="96"/>
      <c r="U106" s="96"/>
      <c r="W106" s="96"/>
      <c r="X106" s="96"/>
      <c r="Y106" s="96"/>
    </row>
    <row r="107" spans="2:25" x14ac:dyDescent="0.2">
      <c r="B107" s="96"/>
      <c r="C107" s="96"/>
      <c r="D107" s="96"/>
      <c r="F107" s="96"/>
      <c r="G107" s="96"/>
      <c r="H107" s="96"/>
      <c r="K107" s="96"/>
      <c r="L107" s="96"/>
      <c r="M107" s="96"/>
      <c r="O107" s="96"/>
      <c r="P107" s="96"/>
      <c r="Q107" s="96"/>
      <c r="S107" s="96"/>
      <c r="T107" s="96"/>
      <c r="U107" s="96"/>
      <c r="W107" s="96"/>
      <c r="X107" s="96"/>
      <c r="Y107" s="96"/>
    </row>
    <row r="108" spans="2:25" x14ac:dyDescent="0.2">
      <c r="B108" s="96"/>
      <c r="C108" s="96"/>
      <c r="D108" s="96"/>
      <c r="F108" s="96"/>
      <c r="G108" s="96"/>
      <c r="H108" s="96"/>
      <c r="K108" s="96"/>
      <c r="L108" s="96"/>
      <c r="M108" s="96"/>
      <c r="O108" s="96"/>
      <c r="P108" s="96"/>
      <c r="Q108" s="96"/>
      <c r="S108" s="96"/>
      <c r="T108" s="96"/>
      <c r="U108" s="96"/>
      <c r="W108" s="96"/>
      <c r="X108" s="96"/>
      <c r="Y108" s="96"/>
    </row>
    <row r="109" spans="2:25" x14ac:dyDescent="0.2">
      <c r="B109" s="96"/>
      <c r="C109" s="96"/>
      <c r="D109" s="96"/>
      <c r="F109" s="96"/>
      <c r="G109" s="96"/>
      <c r="H109" s="96"/>
      <c r="K109" s="96"/>
      <c r="L109" s="96"/>
      <c r="M109" s="96"/>
      <c r="O109" s="96"/>
      <c r="P109" s="96"/>
      <c r="Q109" s="96"/>
      <c r="S109" s="96"/>
      <c r="T109" s="96"/>
      <c r="U109" s="96"/>
      <c r="W109" s="96"/>
      <c r="X109" s="96"/>
      <c r="Y109" s="96"/>
    </row>
    <row r="110" spans="2:25" x14ac:dyDescent="0.2">
      <c r="B110" s="96"/>
      <c r="C110" s="96"/>
      <c r="D110" s="96"/>
      <c r="F110" s="96"/>
      <c r="G110" s="96"/>
      <c r="H110" s="96"/>
      <c r="K110" s="96"/>
      <c r="L110" s="96"/>
      <c r="M110" s="96"/>
      <c r="O110" s="96"/>
      <c r="P110" s="96"/>
      <c r="Q110" s="96"/>
      <c r="S110" s="96"/>
      <c r="T110" s="96"/>
      <c r="U110" s="96"/>
      <c r="W110" s="96"/>
      <c r="X110" s="96"/>
      <c r="Y110" s="96"/>
    </row>
    <row r="111" spans="2:25" x14ac:dyDescent="0.2">
      <c r="B111" s="96"/>
      <c r="C111" s="96"/>
      <c r="D111" s="96"/>
      <c r="F111" s="96"/>
      <c r="G111" s="96"/>
      <c r="H111" s="96"/>
      <c r="K111" s="96"/>
      <c r="L111" s="96"/>
      <c r="M111" s="96"/>
      <c r="O111" s="96"/>
      <c r="P111" s="96"/>
      <c r="Q111" s="96"/>
      <c r="S111" s="96"/>
      <c r="T111" s="96"/>
      <c r="U111" s="96"/>
      <c r="W111" s="96"/>
      <c r="X111" s="96"/>
      <c r="Y111" s="96"/>
    </row>
    <row r="112" spans="2:25" x14ac:dyDescent="0.2">
      <c r="B112" s="96"/>
      <c r="C112" s="96"/>
      <c r="D112" s="96"/>
      <c r="F112" s="96"/>
      <c r="G112" s="96"/>
      <c r="H112" s="96"/>
      <c r="K112" s="96"/>
      <c r="L112" s="96"/>
      <c r="M112" s="96"/>
      <c r="O112" s="96"/>
      <c r="P112" s="96"/>
      <c r="Q112" s="96"/>
      <c r="S112" s="96"/>
      <c r="T112" s="96"/>
      <c r="U112" s="96"/>
      <c r="W112" s="96"/>
      <c r="X112" s="96"/>
      <c r="Y112" s="96"/>
    </row>
    <row r="113" spans="2:25" x14ac:dyDescent="0.2">
      <c r="B113" s="96"/>
      <c r="C113" s="96"/>
      <c r="D113" s="96"/>
      <c r="F113" s="96"/>
      <c r="G113" s="96"/>
      <c r="H113" s="96"/>
      <c r="K113" s="96"/>
      <c r="L113" s="96"/>
      <c r="M113" s="96"/>
      <c r="O113" s="96"/>
      <c r="P113" s="96"/>
      <c r="Q113" s="96"/>
      <c r="S113" s="96"/>
      <c r="T113" s="96"/>
      <c r="U113" s="96"/>
      <c r="W113" s="96"/>
      <c r="X113" s="96"/>
      <c r="Y113" s="96"/>
    </row>
    <row r="114" spans="2:25" x14ac:dyDescent="0.2">
      <c r="B114" s="96"/>
      <c r="C114" s="96"/>
      <c r="D114" s="96"/>
      <c r="F114" s="96"/>
      <c r="G114" s="96"/>
      <c r="H114" s="96"/>
      <c r="K114" s="96"/>
      <c r="L114" s="96"/>
      <c r="M114" s="96"/>
      <c r="O114" s="96"/>
      <c r="P114" s="96"/>
      <c r="Q114" s="96"/>
      <c r="S114" s="96"/>
      <c r="T114" s="96"/>
      <c r="U114" s="96"/>
      <c r="W114" s="96"/>
      <c r="X114" s="96"/>
      <c r="Y114" s="96"/>
    </row>
    <row r="115" spans="2:25" x14ac:dyDescent="0.2">
      <c r="B115" s="96"/>
      <c r="C115" s="96"/>
      <c r="D115" s="96"/>
      <c r="F115" s="96"/>
      <c r="G115" s="96"/>
      <c r="H115" s="96"/>
      <c r="K115" s="96"/>
      <c r="L115" s="96"/>
      <c r="M115" s="96"/>
      <c r="O115" s="96"/>
      <c r="P115" s="96"/>
      <c r="Q115" s="96"/>
      <c r="S115" s="96"/>
      <c r="T115" s="96"/>
      <c r="U115" s="96"/>
      <c r="W115" s="96"/>
      <c r="X115" s="96"/>
      <c r="Y115" s="96"/>
    </row>
    <row r="116" spans="2:25" x14ac:dyDescent="0.2">
      <c r="B116" s="96"/>
      <c r="C116" s="96"/>
      <c r="D116" s="96"/>
      <c r="F116" s="96"/>
      <c r="G116" s="96"/>
      <c r="H116" s="96"/>
      <c r="K116" s="96"/>
      <c r="L116" s="96"/>
      <c r="M116" s="96"/>
      <c r="O116" s="96"/>
      <c r="P116" s="96"/>
      <c r="Q116" s="96"/>
      <c r="S116" s="96"/>
      <c r="T116" s="96"/>
      <c r="U116" s="96"/>
      <c r="W116" s="96"/>
      <c r="X116" s="96"/>
      <c r="Y116" s="96"/>
    </row>
    <row r="117" spans="2:25" x14ac:dyDescent="0.2">
      <c r="B117" s="96"/>
      <c r="C117" s="96"/>
      <c r="D117" s="96"/>
      <c r="F117" s="96"/>
      <c r="G117" s="96"/>
      <c r="H117" s="96"/>
      <c r="K117" s="96"/>
      <c r="L117" s="96"/>
      <c r="M117" s="96"/>
      <c r="O117" s="96"/>
      <c r="P117" s="96"/>
      <c r="Q117" s="96"/>
      <c r="S117" s="96"/>
      <c r="T117" s="96"/>
      <c r="U117" s="96"/>
      <c r="W117" s="96"/>
      <c r="X117" s="96"/>
      <c r="Y117" s="96"/>
    </row>
    <row r="118" spans="2:25" x14ac:dyDescent="0.2">
      <c r="B118" s="96"/>
      <c r="C118" s="96"/>
      <c r="D118" s="96"/>
      <c r="F118" s="96"/>
      <c r="G118" s="96"/>
      <c r="H118" s="96"/>
      <c r="K118" s="96"/>
      <c r="L118" s="96"/>
      <c r="M118" s="96"/>
      <c r="O118" s="96"/>
      <c r="P118" s="96"/>
      <c r="Q118" s="96"/>
      <c r="S118" s="96"/>
      <c r="T118" s="96"/>
      <c r="U118" s="96"/>
      <c r="W118" s="96"/>
      <c r="X118" s="96"/>
      <c r="Y118" s="96"/>
    </row>
    <row r="119" spans="2:25" x14ac:dyDescent="0.2">
      <c r="B119" s="96"/>
      <c r="C119" s="96"/>
      <c r="D119" s="96"/>
      <c r="F119" s="96"/>
      <c r="G119" s="96"/>
      <c r="H119" s="96"/>
      <c r="K119" s="96"/>
      <c r="L119" s="96"/>
      <c r="M119" s="96"/>
      <c r="O119" s="96"/>
      <c r="P119" s="96"/>
      <c r="Q119" s="96"/>
      <c r="S119" s="96"/>
      <c r="T119" s="96"/>
      <c r="U119" s="96"/>
      <c r="W119" s="96"/>
      <c r="X119" s="96"/>
      <c r="Y119" s="96"/>
    </row>
    <row r="120" spans="2:25" x14ac:dyDescent="0.2">
      <c r="B120" s="96"/>
      <c r="C120" s="96"/>
      <c r="D120" s="96"/>
      <c r="F120" s="96"/>
      <c r="G120" s="96"/>
      <c r="H120" s="96"/>
      <c r="K120" s="96"/>
      <c r="L120" s="96"/>
      <c r="M120" s="96"/>
      <c r="O120" s="96"/>
      <c r="P120" s="96"/>
      <c r="Q120" s="96"/>
      <c r="S120" s="96"/>
      <c r="T120" s="96"/>
      <c r="U120" s="96"/>
      <c r="W120" s="96"/>
      <c r="X120" s="96"/>
      <c r="Y120" s="96"/>
    </row>
    <row r="121" spans="2:25" x14ac:dyDescent="0.2">
      <c r="B121" s="96"/>
      <c r="C121" s="96"/>
      <c r="D121" s="96"/>
      <c r="F121" s="96"/>
      <c r="G121" s="96"/>
      <c r="H121" s="96"/>
      <c r="K121" s="96"/>
      <c r="L121" s="96"/>
      <c r="M121" s="96"/>
      <c r="O121" s="96"/>
      <c r="P121" s="96"/>
      <c r="Q121" s="96"/>
      <c r="S121" s="96"/>
      <c r="T121" s="96"/>
      <c r="U121" s="96"/>
      <c r="W121" s="96"/>
      <c r="X121" s="96"/>
      <c r="Y121" s="96"/>
    </row>
    <row r="122" spans="2:25" x14ac:dyDescent="0.2">
      <c r="B122" s="96"/>
      <c r="C122" s="96"/>
      <c r="D122" s="96"/>
      <c r="F122" s="96"/>
      <c r="G122" s="96"/>
      <c r="H122" s="96"/>
      <c r="K122" s="96"/>
      <c r="L122" s="96"/>
      <c r="M122" s="96"/>
      <c r="O122" s="96"/>
      <c r="P122" s="96"/>
      <c r="Q122" s="96"/>
      <c r="S122" s="96"/>
      <c r="T122" s="96"/>
      <c r="U122" s="96"/>
      <c r="W122" s="96"/>
      <c r="X122" s="96"/>
      <c r="Y122" s="96"/>
    </row>
    <row r="123" spans="2:25" x14ac:dyDescent="0.2">
      <c r="B123" s="96"/>
      <c r="C123" s="96"/>
      <c r="D123" s="96"/>
      <c r="F123" s="96"/>
      <c r="G123" s="96"/>
      <c r="H123" s="96"/>
      <c r="K123" s="96"/>
      <c r="L123" s="96"/>
      <c r="M123" s="96"/>
      <c r="O123" s="96"/>
      <c r="P123" s="96"/>
      <c r="Q123" s="96"/>
      <c r="S123" s="96"/>
      <c r="T123" s="96"/>
      <c r="U123" s="96"/>
      <c r="W123" s="96"/>
      <c r="X123" s="96"/>
      <c r="Y123" s="96"/>
    </row>
    <row r="124" spans="2:25" x14ac:dyDescent="0.2">
      <c r="B124" s="96"/>
      <c r="C124" s="96"/>
      <c r="D124" s="96"/>
      <c r="F124" s="96"/>
      <c r="G124" s="96"/>
      <c r="H124" s="96"/>
      <c r="K124" s="96"/>
      <c r="L124" s="96"/>
      <c r="M124" s="96"/>
      <c r="O124" s="96"/>
      <c r="P124" s="96"/>
      <c r="Q124" s="96"/>
      <c r="S124" s="96"/>
      <c r="T124" s="96"/>
      <c r="U124" s="96"/>
      <c r="W124" s="96"/>
      <c r="X124" s="96"/>
      <c r="Y124" s="96"/>
    </row>
    <row r="125" spans="2:25" x14ac:dyDescent="0.2">
      <c r="B125" s="96"/>
      <c r="C125" s="96"/>
      <c r="D125" s="96"/>
      <c r="F125" s="96"/>
      <c r="G125" s="96"/>
      <c r="H125" s="96"/>
      <c r="K125" s="96"/>
      <c r="L125" s="96"/>
      <c r="M125" s="96"/>
      <c r="O125" s="96"/>
      <c r="P125" s="96"/>
      <c r="Q125" s="96"/>
      <c r="S125" s="96"/>
      <c r="T125" s="96"/>
      <c r="U125" s="96"/>
      <c r="W125" s="96"/>
      <c r="X125" s="96"/>
      <c r="Y125" s="96"/>
    </row>
    <row r="126" spans="2:25" x14ac:dyDescent="0.2">
      <c r="B126" s="96"/>
      <c r="C126" s="96"/>
      <c r="D126" s="96"/>
      <c r="F126" s="96"/>
      <c r="G126" s="96"/>
      <c r="H126" s="96"/>
      <c r="K126" s="96"/>
      <c r="L126" s="96"/>
      <c r="M126" s="96"/>
      <c r="O126" s="96"/>
      <c r="P126" s="96"/>
      <c r="Q126" s="96"/>
      <c r="S126" s="96"/>
      <c r="T126" s="96"/>
      <c r="U126" s="96"/>
      <c r="W126" s="96"/>
      <c r="X126" s="96"/>
      <c r="Y126" s="96"/>
    </row>
    <row r="127" spans="2:25" x14ac:dyDescent="0.2">
      <c r="B127" s="96"/>
      <c r="C127" s="96"/>
      <c r="D127" s="96"/>
      <c r="F127" s="96"/>
      <c r="G127" s="96"/>
      <c r="H127" s="96"/>
      <c r="K127" s="96"/>
      <c r="L127" s="96"/>
      <c r="M127" s="96"/>
      <c r="O127" s="96"/>
      <c r="P127" s="96"/>
      <c r="Q127" s="96"/>
      <c r="S127" s="96"/>
      <c r="T127" s="96"/>
      <c r="U127" s="96"/>
      <c r="W127" s="96"/>
      <c r="X127" s="96"/>
      <c r="Y127" s="96"/>
    </row>
    <row r="128" spans="2:25" x14ac:dyDescent="0.2">
      <c r="B128" s="96"/>
      <c r="C128" s="96"/>
      <c r="D128" s="96"/>
      <c r="F128" s="96"/>
      <c r="G128" s="96"/>
      <c r="H128" s="96"/>
      <c r="K128" s="96"/>
      <c r="L128" s="96"/>
      <c r="M128" s="96"/>
      <c r="O128" s="96"/>
      <c r="P128" s="96"/>
      <c r="Q128" s="96"/>
      <c r="S128" s="96"/>
      <c r="T128" s="96"/>
      <c r="U128" s="96"/>
      <c r="W128" s="96"/>
      <c r="X128" s="96"/>
      <c r="Y128" s="96"/>
    </row>
    <row r="129" spans="2:25" x14ac:dyDescent="0.2">
      <c r="B129" s="96"/>
      <c r="C129" s="96"/>
      <c r="D129" s="96"/>
      <c r="F129" s="96"/>
      <c r="G129" s="96"/>
      <c r="H129" s="96"/>
      <c r="K129" s="96"/>
      <c r="L129" s="96"/>
      <c r="M129" s="96"/>
      <c r="O129" s="96"/>
      <c r="P129" s="96"/>
      <c r="Q129" s="96"/>
      <c r="S129" s="96"/>
      <c r="T129" s="96"/>
      <c r="U129" s="96"/>
      <c r="W129" s="96"/>
      <c r="X129" s="96"/>
      <c r="Y129" s="96"/>
    </row>
    <row r="130" spans="2:25" x14ac:dyDescent="0.2">
      <c r="B130" s="96"/>
      <c r="C130" s="96"/>
      <c r="D130" s="96"/>
      <c r="F130" s="96"/>
      <c r="G130" s="96"/>
      <c r="H130" s="96"/>
      <c r="K130" s="96"/>
      <c r="L130" s="96"/>
      <c r="M130" s="96"/>
      <c r="O130" s="96"/>
      <c r="P130" s="96"/>
      <c r="Q130" s="96"/>
      <c r="S130" s="96"/>
      <c r="T130" s="96"/>
      <c r="U130" s="96"/>
      <c r="W130" s="96"/>
      <c r="X130" s="96"/>
      <c r="Y130" s="96"/>
    </row>
    <row r="131" spans="2:25" x14ac:dyDescent="0.2">
      <c r="B131" s="96"/>
      <c r="C131" s="96"/>
      <c r="D131" s="96"/>
      <c r="F131" s="96"/>
      <c r="G131" s="96"/>
      <c r="H131" s="96"/>
      <c r="K131" s="96"/>
      <c r="L131" s="96"/>
      <c r="M131" s="96"/>
      <c r="O131" s="96"/>
      <c r="P131" s="96"/>
      <c r="Q131" s="96"/>
      <c r="S131" s="96"/>
      <c r="T131" s="96"/>
      <c r="U131" s="96"/>
      <c r="W131" s="96"/>
      <c r="X131" s="96"/>
      <c r="Y131" s="96"/>
    </row>
    <row r="132" spans="2:25" x14ac:dyDescent="0.2">
      <c r="B132" s="96"/>
      <c r="C132" s="96"/>
      <c r="D132" s="96"/>
      <c r="F132" s="96"/>
      <c r="G132" s="96"/>
      <c r="H132" s="96"/>
      <c r="K132" s="96"/>
      <c r="L132" s="96"/>
      <c r="M132" s="96"/>
      <c r="O132" s="96"/>
      <c r="P132" s="96"/>
      <c r="Q132" s="96"/>
      <c r="S132" s="96"/>
      <c r="T132" s="96"/>
      <c r="U132" s="96"/>
      <c r="W132" s="96"/>
      <c r="X132" s="96"/>
      <c r="Y132" s="96"/>
    </row>
    <row r="133" spans="2:25" x14ac:dyDescent="0.2">
      <c r="B133" s="96"/>
      <c r="C133" s="96"/>
      <c r="D133" s="96"/>
      <c r="F133" s="96"/>
      <c r="G133" s="96"/>
      <c r="H133" s="96"/>
      <c r="K133" s="96"/>
      <c r="L133" s="96"/>
      <c r="M133" s="96"/>
      <c r="O133" s="96"/>
      <c r="P133" s="96"/>
      <c r="Q133" s="96"/>
      <c r="S133" s="96"/>
      <c r="T133" s="96"/>
      <c r="U133" s="96"/>
      <c r="W133" s="96"/>
      <c r="X133" s="96"/>
      <c r="Y133" s="96"/>
    </row>
    <row r="134" spans="2:25" x14ac:dyDescent="0.2">
      <c r="B134" s="96"/>
      <c r="C134" s="96"/>
      <c r="D134" s="96"/>
      <c r="F134" s="96"/>
      <c r="G134" s="96"/>
      <c r="H134" s="96"/>
      <c r="K134" s="96"/>
      <c r="L134" s="96"/>
      <c r="M134" s="96"/>
      <c r="O134" s="96"/>
      <c r="P134" s="96"/>
      <c r="Q134" s="96"/>
      <c r="S134" s="96"/>
      <c r="T134" s="96"/>
      <c r="U134" s="96"/>
      <c r="W134" s="96"/>
      <c r="X134" s="96"/>
      <c r="Y134" s="96"/>
    </row>
    <row r="135" spans="2:25" x14ac:dyDescent="0.2">
      <c r="B135" s="96"/>
      <c r="C135" s="96"/>
      <c r="D135" s="96"/>
      <c r="F135" s="96"/>
      <c r="G135" s="96"/>
      <c r="H135" s="96"/>
      <c r="K135" s="96"/>
      <c r="L135" s="96"/>
      <c r="M135" s="96"/>
      <c r="O135" s="96"/>
      <c r="P135" s="96"/>
      <c r="Q135" s="96"/>
      <c r="S135" s="96"/>
      <c r="T135" s="96"/>
      <c r="U135" s="96"/>
      <c r="W135" s="96"/>
      <c r="X135" s="96"/>
      <c r="Y135" s="96"/>
    </row>
    <row r="136" spans="2:25" x14ac:dyDescent="0.2">
      <c r="B136" s="96"/>
      <c r="C136" s="96"/>
      <c r="D136" s="96"/>
      <c r="F136" s="96"/>
      <c r="G136" s="96"/>
      <c r="H136" s="96"/>
      <c r="K136" s="96"/>
      <c r="L136" s="96"/>
      <c r="M136" s="96"/>
      <c r="O136" s="96"/>
      <c r="P136" s="96"/>
      <c r="Q136" s="96"/>
      <c r="S136" s="96"/>
      <c r="T136" s="96"/>
      <c r="U136" s="96"/>
      <c r="W136" s="96"/>
      <c r="X136" s="96"/>
      <c r="Y136" s="96"/>
    </row>
    <row r="137" spans="2:25" x14ac:dyDescent="0.2">
      <c r="B137" s="96"/>
      <c r="C137" s="96"/>
      <c r="D137" s="96"/>
      <c r="F137" s="96"/>
      <c r="G137" s="96"/>
      <c r="H137" s="96"/>
      <c r="K137" s="96"/>
      <c r="L137" s="96"/>
      <c r="M137" s="96"/>
      <c r="O137" s="96"/>
      <c r="P137" s="96"/>
      <c r="Q137" s="96"/>
      <c r="S137" s="96"/>
      <c r="T137" s="96"/>
      <c r="U137" s="96"/>
      <c r="W137" s="96"/>
      <c r="X137" s="96"/>
      <c r="Y137" s="96"/>
    </row>
    <row r="138" spans="2:25" x14ac:dyDescent="0.2">
      <c r="B138" s="96"/>
      <c r="C138" s="96"/>
      <c r="D138" s="96"/>
      <c r="F138" s="96"/>
      <c r="G138" s="96"/>
      <c r="H138" s="96"/>
      <c r="K138" s="96"/>
      <c r="L138" s="96"/>
      <c r="M138" s="96"/>
      <c r="O138" s="96"/>
      <c r="P138" s="96"/>
      <c r="Q138" s="96"/>
      <c r="S138" s="96"/>
      <c r="T138" s="96"/>
      <c r="U138" s="96"/>
      <c r="W138" s="96"/>
      <c r="X138" s="96"/>
      <c r="Y138" s="96"/>
    </row>
    <row r="139" spans="2:25" x14ac:dyDescent="0.2">
      <c r="B139" s="96"/>
      <c r="C139" s="96"/>
      <c r="D139" s="96"/>
      <c r="F139" s="96"/>
      <c r="G139" s="96"/>
      <c r="H139" s="96"/>
      <c r="K139" s="96"/>
      <c r="L139" s="96"/>
      <c r="M139" s="96"/>
      <c r="O139" s="96"/>
      <c r="P139" s="96"/>
      <c r="Q139" s="96"/>
      <c r="S139" s="96"/>
      <c r="T139" s="96"/>
      <c r="U139" s="96"/>
      <c r="W139" s="96"/>
      <c r="X139" s="96"/>
      <c r="Y139" s="96"/>
    </row>
    <row r="140" spans="2:25" x14ac:dyDescent="0.2">
      <c r="B140" s="96"/>
      <c r="C140" s="96"/>
      <c r="D140" s="96"/>
      <c r="F140" s="96"/>
      <c r="G140" s="96"/>
      <c r="H140" s="96"/>
      <c r="K140" s="96"/>
      <c r="L140" s="96"/>
      <c r="M140" s="96"/>
      <c r="O140" s="96"/>
      <c r="P140" s="96"/>
      <c r="Q140" s="96"/>
      <c r="S140" s="96"/>
      <c r="T140" s="96"/>
      <c r="U140" s="96"/>
      <c r="W140" s="96"/>
      <c r="X140" s="96"/>
      <c r="Y140" s="96"/>
    </row>
    <row r="141" spans="2:25" x14ac:dyDescent="0.2">
      <c r="B141" s="96"/>
      <c r="C141" s="96"/>
      <c r="D141" s="96"/>
      <c r="F141" s="96"/>
      <c r="G141" s="96"/>
      <c r="H141" s="96"/>
      <c r="K141" s="96"/>
      <c r="L141" s="96"/>
      <c r="M141" s="96"/>
      <c r="O141" s="96"/>
      <c r="P141" s="96"/>
      <c r="Q141" s="96"/>
      <c r="S141" s="96"/>
      <c r="T141" s="96"/>
      <c r="U141" s="96"/>
      <c r="W141" s="96"/>
      <c r="X141" s="96"/>
      <c r="Y141" s="96"/>
    </row>
    <row r="142" spans="2:25" x14ac:dyDescent="0.2">
      <c r="B142" s="96"/>
      <c r="C142" s="96"/>
      <c r="D142" s="96"/>
      <c r="F142" s="96"/>
      <c r="G142" s="96"/>
      <c r="H142" s="96"/>
      <c r="K142" s="96"/>
      <c r="L142" s="96"/>
      <c r="M142" s="96"/>
      <c r="O142" s="96"/>
      <c r="P142" s="96"/>
      <c r="Q142" s="96"/>
      <c r="S142" s="96"/>
      <c r="T142" s="96"/>
      <c r="U142" s="96"/>
      <c r="W142" s="96"/>
      <c r="X142" s="96"/>
      <c r="Y142" s="96"/>
    </row>
    <row r="143" spans="2:25" x14ac:dyDescent="0.2">
      <c r="B143" s="96"/>
      <c r="C143" s="96"/>
      <c r="D143" s="96"/>
      <c r="F143" s="96"/>
      <c r="G143" s="96"/>
      <c r="H143" s="96"/>
      <c r="K143" s="96"/>
      <c r="L143" s="96"/>
      <c r="M143" s="96"/>
      <c r="O143" s="96"/>
      <c r="P143" s="96"/>
      <c r="Q143" s="96"/>
      <c r="S143" s="96"/>
      <c r="T143" s="96"/>
      <c r="U143" s="96"/>
      <c r="W143" s="96"/>
      <c r="X143" s="96"/>
      <c r="Y143" s="96"/>
    </row>
    <row r="144" spans="2:25" x14ac:dyDescent="0.2">
      <c r="B144" s="96"/>
      <c r="C144" s="96"/>
      <c r="D144" s="96"/>
      <c r="F144" s="96"/>
      <c r="G144" s="96"/>
      <c r="H144" s="96"/>
      <c r="K144" s="96"/>
      <c r="L144" s="96"/>
      <c r="M144" s="96"/>
      <c r="O144" s="96"/>
      <c r="P144" s="96"/>
      <c r="Q144" s="96"/>
      <c r="S144" s="96"/>
      <c r="T144" s="96"/>
      <c r="U144" s="96"/>
      <c r="W144" s="96"/>
      <c r="X144" s="96"/>
      <c r="Y144" s="96"/>
    </row>
    <row r="145" spans="2:25" x14ac:dyDescent="0.2">
      <c r="B145" s="96"/>
      <c r="C145" s="96"/>
      <c r="D145" s="96"/>
      <c r="F145" s="96"/>
      <c r="G145" s="96"/>
      <c r="H145" s="96"/>
      <c r="K145" s="96"/>
      <c r="L145" s="96"/>
      <c r="M145" s="96"/>
      <c r="O145" s="96"/>
      <c r="P145" s="96"/>
      <c r="Q145" s="96"/>
      <c r="S145" s="96"/>
      <c r="T145" s="96"/>
      <c r="U145" s="96"/>
      <c r="W145" s="96"/>
      <c r="X145" s="96"/>
      <c r="Y145" s="96"/>
    </row>
    <row r="146" spans="2:25" x14ac:dyDescent="0.2">
      <c r="B146" s="96"/>
      <c r="C146" s="96"/>
      <c r="D146" s="96"/>
      <c r="F146" s="96"/>
      <c r="G146" s="96"/>
      <c r="H146" s="96"/>
      <c r="K146" s="96"/>
      <c r="L146" s="96"/>
      <c r="M146" s="96"/>
      <c r="O146" s="96"/>
      <c r="P146" s="96"/>
      <c r="Q146" s="96"/>
      <c r="S146" s="96"/>
      <c r="T146" s="96"/>
      <c r="U146" s="96"/>
      <c r="W146" s="96"/>
      <c r="X146" s="96"/>
      <c r="Y146" s="96"/>
    </row>
    <row r="147" spans="2:25" x14ac:dyDescent="0.2">
      <c r="B147" s="96"/>
      <c r="C147" s="96"/>
      <c r="D147" s="96"/>
      <c r="F147" s="96"/>
      <c r="G147" s="96"/>
      <c r="H147" s="96"/>
      <c r="K147" s="96"/>
      <c r="L147" s="96"/>
      <c r="M147" s="96"/>
      <c r="O147" s="96"/>
      <c r="P147" s="96"/>
      <c r="Q147" s="96"/>
      <c r="S147" s="96"/>
      <c r="T147" s="96"/>
      <c r="U147" s="96"/>
      <c r="W147" s="96"/>
      <c r="X147" s="96"/>
      <c r="Y147" s="96"/>
    </row>
    <row r="148" spans="2:25" x14ac:dyDescent="0.2">
      <c r="B148" s="96"/>
      <c r="C148" s="96"/>
      <c r="D148" s="96"/>
      <c r="F148" s="96"/>
      <c r="G148" s="96"/>
      <c r="H148" s="96"/>
      <c r="K148" s="96"/>
      <c r="L148" s="96"/>
      <c r="M148" s="96"/>
      <c r="O148" s="96"/>
      <c r="P148" s="96"/>
      <c r="Q148" s="96"/>
      <c r="S148" s="96"/>
      <c r="T148" s="96"/>
      <c r="U148" s="96"/>
      <c r="W148" s="96"/>
      <c r="X148" s="96"/>
      <c r="Y148" s="96"/>
    </row>
    <row r="149" spans="2:25" x14ac:dyDescent="0.2">
      <c r="B149" s="96"/>
      <c r="C149" s="96"/>
      <c r="D149" s="96"/>
      <c r="F149" s="96"/>
      <c r="G149" s="96"/>
      <c r="H149" s="96"/>
      <c r="K149" s="96"/>
      <c r="L149" s="96"/>
      <c r="M149" s="96"/>
      <c r="O149" s="96"/>
      <c r="P149" s="96"/>
      <c r="Q149" s="96"/>
      <c r="S149" s="96"/>
      <c r="T149" s="96"/>
      <c r="U149" s="96"/>
      <c r="W149" s="96"/>
      <c r="X149" s="96"/>
      <c r="Y149" s="96"/>
    </row>
    <row r="150" spans="2:25" x14ac:dyDescent="0.2">
      <c r="B150" s="96"/>
      <c r="C150" s="96"/>
      <c r="D150" s="96"/>
      <c r="F150" s="96"/>
      <c r="G150" s="96"/>
      <c r="H150" s="96"/>
      <c r="K150" s="96"/>
      <c r="L150" s="96"/>
      <c r="M150" s="96"/>
      <c r="O150" s="96"/>
      <c r="P150" s="96"/>
      <c r="Q150" s="96"/>
      <c r="S150" s="96"/>
      <c r="T150" s="96"/>
      <c r="U150" s="96"/>
      <c r="W150" s="96"/>
      <c r="X150" s="96"/>
      <c r="Y150" s="96"/>
    </row>
    <row r="151" spans="2:25" x14ac:dyDescent="0.2">
      <c r="B151" s="96"/>
      <c r="C151" s="96"/>
      <c r="D151" s="96"/>
      <c r="F151" s="96"/>
      <c r="G151" s="96"/>
      <c r="H151" s="96"/>
      <c r="K151" s="96"/>
      <c r="L151" s="96"/>
      <c r="M151" s="96"/>
      <c r="O151" s="96"/>
      <c r="P151" s="96"/>
      <c r="Q151" s="96"/>
      <c r="S151" s="96"/>
      <c r="T151" s="96"/>
      <c r="U151" s="96"/>
      <c r="W151" s="96"/>
      <c r="X151" s="96"/>
      <c r="Y151" s="96"/>
    </row>
    <row r="152" spans="2:25" x14ac:dyDescent="0.2">
      <c r="B152" s="96"/>
      <c r="C152" s="96"/>
      <c r="D152" s="96"/>
      <c r="F152" s="96"/>
      <c r="G152" s="96"/>
      <c r="H152" s="96"/>
      <c r="K152" s="96"/>
      <c r="L152" s="96"/>
      <c r="M152" s="96"/>
      <c r="O152" s="96"/>
      <c r="P152" s="96"/>
      <c r="Q152" s="96"/>
      <c r="S152" s="96"/>
      <c r="T152" s="96"/>
      <c r="U152" s="96"/>
      <c r="W152" s="96"/>
      <c r="X152" s="96"/>
      <c r="Y152" s="96"/>
    </row>
    <row r="153" spans="2:25" x14ac:dyDescent="0.2">
      <c r="B153" s="96"/>
      <c r="C153" s="96"/>
      <c r="D153" s="96"/>
      <c r="F153" s="96"/>
      <c r="G153" s="96"/>
      <c r="H153" s="96"/>
      <c r="K153" s="96"/>
      <c r="L153" s="96"/>
      <c r="M153" s="96"/>
      <c r="O153" s="96"/>
      <c r="P153" s="96"/>
      <c r="Q153" s="96"/>
      <c r="S153" s="96"/>
      <c r="T153" s="96"/>
      <c r="U153" s="96"/>
      <c r="W153" s="96"/>
      <c r="X153" s="96"/>
      <c r="Y153" s="96"/>
    </row>
    <row r="154" spans="2:25" x14ac:dyDescent="0.2">
      <c r="B154" s="96"/>
      <c r="C154" s="96"/>
      <c r="D154" s="96"/>
      <c r="F154" s="96"/>
      <c r="G154" s="96"/>
      <c r="H154" s="96"/>
      <c r="K154" s="96"/>
      <c r="L154" s="96"/>
      <c r="M154" s="96"/>
      <c r="O154" s="96"/>
      <c r="P154" s="96"/>
      <c r="Q154" s="96"/>
      <c r="S154" s="96"/>
      <c r="T154" s="96"/>
      <c r="U154" s="96"/>
      <c r="W154" s="96"/>
      <c r="X154" s="96"/>
      <c r="Y154" s="96"/>
    </row>
    <row r="155" spans="2:25" x14ac:dyDescent="0.2">
      <c r="B155" s="96"/>
      <c r="C155" s="96"/>
      <c r="D155" s="96"/>
      <c r="F155" s="96"/>
      <c r="G155" s="96"/>
      <c r="H155" s="96"/>
      <c r="K155" s="96"/>
      <c r="L155" s="96"/>
      <c r="M155" s="96"/>
      <c r="O155" s="96"/>
      <c r="P155" s="96"/>
      <c r="Q155" s="96"/>
      <c r="S155" s="96"/>
      <c r="T155" s="96"/>
      <c r="U155" s="96"/>
      <c r="W155" s="96"/>
      <c r="X155" s="96"/>
      <c r="Y155" s="96"/>
    </row>
  </sheetData>
  <sheetProtection algorithmName="SHA-512" hashValue="xeT1RgdniZ+VPdzgR0DcKNbLg4Ga/rrgOB8zYKo8ylbM4ZkzbR9aSU1YqdXQiIhE2NpOWE1kn2WW2bcYHn1M/A==" saltValue="WuBOrIcVF5kqdtDXp365nA==" spinCount="100000" sheet="1" objects="1" scenarios="1" selectLockedCells="1"/>
  <mergeCells count="15">
    <mergeCell ref="C2:AD2"/>
    <mergeCell ref="AA11:AC11"/>
    <mergeCell ref="AA60:AC60"/>
    <mergeCell ref="S60:U60"/>
    <mergeCell ref="O60:Q60"/>
    <mergeCell ref="K60:M60"/>
    <mergeCell ref="F11:H11"/>
    <mergeCell ref="F60:H60"/>
    <mergeCell ref="W60:Y60"/>
    <mergeCell ref="C69:W69"/>
    <mergeCell ref="C70:W81"/>
    <mergeCell ref="K11:M11"/>
    <mergeCell ref="O11:Q11"/>
    <mergeCell ref="S11:U11"/>
    <mergeCell ref="W11:Y11"/>
  </mergeCells>
  <pageMargins left="0.7" right="0.7" top="0.75" bottom="0.75" header="0.3" footer="0.3"/>
  <pageSetup scale="3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B1:AH183"/>
  <sheetViews>
    <sheetView topLeftCell="D28" zoomScale="90" zoomScaleNormal="90" workbookViewId="0">
      <selection activeCell="G38" sqref="G38"/>
    </sheetView>
  </sheetViews>
  <sheetFormatPr defaultColWidth="9.140625" defaultRowHeight="12.75" x14ac:dyDescent="0.25"/>
  <cols>
    <col min="1" max="2" width="3" style="9" customWidth="1"/>
    <col min="3" max="3" width="3.7109375" style="7" customWidth="1"/>
    <col min="4" max="4" width="25.7109375" style="8" customWidth="1"/>
    <col min="5" max="5" width="41.28515625" style="9" customWidth="1"/>
    <col min="6" max="10" width="14.28515625" style="9" customWidth="1"/>
    <col min="11" max="11" width="14.28515625" style="222" customWidth="1"/>
    <col min="12" max="12" width="54.7109375" style="223" customWidth="1"/>
    <col min="13" max="13" width="3" style="223" customWidth="1"/>
    <col min="14" max="14" width="3" style="9" customWidth="1"/>
    <col min="15" max="15" width="32.85546875" style="224" bestFit="1" customWidth="1"/>
    <col min="16" max="16384" width="9.140625" style="9"/>
  </cols>
  <sheetData>
    <row r="1" spans="2:16" ht="15" customHeight="1" thickBot="1" x14ac:dyDescent="0.3"/>
    <row r="2" spans="2:16" ht="17.25" customHeight="1" x14ac:dyDescent="0.25">
      <c r="B2" s="225"/>
      <c r="C2" s="13"/>
      <c r="D2" s="481" t="s">
        <v>457</v>
      </c>
      <c r="E2" s="519"/>
      <c r="F2" s="519"/>
      <c r="G2" s="519"/>
      <c r="H2" s="519"/>
      <c r="I2" s="519"/>
      <c r="J2" s="519"/>
      <c r="K2" s="519"/>
      <c r="L2" s="519"/>
      <c r="M2" s="226"/>
      <c r="N2" s="227"/>
    </row>
    <row r="3" spans="2:16" ht="15" customHeight="1" x14ac:dyDescent="0.25">
      <c r="B3" s="228"/>
      <c r="C3" s="14"/>
      <c r="D3" s="3"/>
      <c r="E3" s="4"/>
      <c r="F3" s="4"/>
      <c r="G3" s="2"/>
      <c r="H3" s="2"/>
      <c r="I3" s="2"/>
      <c r="J3" s="2"/>
      <c r="K3" s="229"/>
      <c r="L3" s="230"/>
      <c r="M3" s="230"/>
      <c r="N3" s="231"/>
    </row>
    <row r="4" spans="2:16" s="232" customFormat="1" ht="15" customHeight="1" x14ac:dyDescent="0.25">
      <c r="B4" s="228"/>
      <c r="C4" s="14"/>
      <c r="D4" s="104" t="s">
        <v>62</v>
      </c>
      <c r="E4" s="306" t="str">
        <f>IF(ISBLANK('1. Instructions'!E6),"Please enter School Name on Tab 1.",'1. Instructions'!E6)</f>
        <v>Higher Institute of Arts &amp; Technology</v>
      </c>
      <c r="F4" s="306"/>
      <c r="G4" s="2"/>
      <c r="H4" s="27"/>
      <c r="I4" s="2"/>
      <c r="J4" s="2"/>
      <c r="K4" s="2"/>
      <c r="L4" s="2"/>
      <c r="M4" s="2"/>
      <c r="N4" s="231"/>
      <c r="P4" s="9"/>
    </row>
    <row r="5" spans="2:16" s="232" customFormat="1" ht="15" customHeight="1" x14ac:dyDescent="0.25">
      <c r="B5" s="228"/>
      <c r="C5" s="14"/>
      <c r="D5" s="104" t="s">
        <v>422</v>
      </c>
      <c r="E5" s="306" t="str">
        <f ca="1">'1. Instructions'!E8</f>
        <v>2021 - 22 SY</v>
      </c>
      <c r="F5" s="306"/>
      <c r="G5" s="2"/>
      <c r="H5" s="27"/>
      <c r="I5" s="2"/>
      <c r="J5" s="2"/>
      <c r="K5" s="2"/>
      <c r="L5" s="2"/>
      <c r="M5" s="2"/>
      <c r="N5" s="231"/>
      <c r="P5" s="9"/>
    </row>
    <row r="6" spans="2:16" ht="15" customHeight="1" x14ac:dyDescent="0.25">
      <c r="B6" s="228"/>
      <c r="C6" s="14"/>
      <c r="D6" s="21"/>
      <c r="E6" s="2"/>
      <c r="F6" s="352"/>
      <c r="G6" s="2"/>
      <c r="H6" s="2"/>
      <c r="I6" s="2"/>
      <c r="J6" s="2"/>
      <c r="K6" s="117"/>
      <c r="L6" s="117"/>
      <c r="M6" s="117"/>
      <c r="N6" s="231"/>
    </row>
    <row r="7" spans="2:16" ht="15" customHeight="1" x14ac:dyDescent="0.25">
      <c r="B7" s="228"/>
      <c r="C7" s="14"/>
      <c r="D7" s="400" t="s">
        <v>93</v>
      </c>
      <c r="E7" s="401"/>
      <c r="F7" s="401"/>
      <c r="G7" s="401"/>
      <c r="H7" s="401"/>
      <c r="I7" s="401"/>
      <c r="J7" s="401"/>
      <c r="K7" s="402"/>
      <c r="L7" s="403"/>
      <c r="M7" s="117"/>
      <c r="N7" s="231"/>
    </row>
    <row r="8" spans="2:16" ht="40.5" customHeight="1" x14ac:dyDescent="0.25">
      <c r="B8" s="228"/>
      <c r="C8" s="14"/>
      <c r="D8" s="526" t="s">
        <v>466</v>
      </c>
      <c r="E8" s="527"/>
      <c r="F8" s="527"/>
      <c r="G8" s="527"/>
      <c r="H8" s="527"/>
      <c r="I8" s="527"/>
      <c r="J8" s="527"/>
      <c r="K8" s="527"/>
      <c r="L8" s="528"/>
      <c r="M8" s="117"/>
      <c r="N8" s="231"/>
    </row>
    <row r="9" spans="2:16" ht="15" customHeight="1" x14ac:dyDescent="0.25">
      <c r="B9" s="228"/>
      <c r="C9" s="14"/>
      <c r="D9" s="21"/>
      <c r="E9" s="2"/>
      <c r="F9" s="352"/>
      <c r="G9" s="14"/>
      <c r="H9" s="14"/>
      <c r="I9" s="14"/>
      <c r="J9" s="14"/>
      <c r="K9" s="117"/>
      <c r="L9" s="106"/>
      <c r="M9" s="106"/>
      <c r="N9" s="231"/>
    </row>
    <row r="10" spans="2:16" ht="15" customHeight="1" x14ac:dyDescent="0.25">
      <c r="B10" s="228"/>
      <c r="C10" s="22"/>
      <c r="D10" s="30"/>
      <c r="E10" s="6"/>
      <c r="F10" s="353"/>
      <c r="G10" s="31"/>
      <c r="H10" s="31"/>
      <c r="I10" s="31"/>
      <c r="J10" s="31"/>
      <c r="K10" s="235"/>
      <c r="L10" s="233"/>
      <c r="M10" s="234"/>
      <c r="N10" s="231"/>
    </row>
    <row r="11" spans="2:16" ht="15" customHeight="1" x14ac:dyDescent="0.25">
      <c r="B11" s="228"/>
      <c r="C11" s="15"/>
      <c r="D11" s="520" t="s">
        <v>15</v>
      </c>
      <c r="E11" s="521"/>
      <c r="F11" s="523" t="s">
        <v>450</v>
      </c>
      <c r="G11" s="523" t="s">
        <v>451</v>
      </c>
      <c r="H11" s="523" t="s">
        <v>452</v>
      </c>
      <c r="I11" s="523" t="s">
        <v>453</v>
      </c>
      <c r="J11" s="523" t="s">
        <v>454</v>
      </c>
      <c r="K11" s="525" t="s">
        <v>455</v>
      </c>
      <c r="L11" s="525" t="s">
        <v>58</v>
      </c>
      <c r="M11" s="236"/>
      <c r="N11" s="231"/>
    </row>
    <row r="12" spans="2:16" ht="15" customHeight="1" x14ac:dyDescent="0.25">
      <c r="B12" s="228"/>
      <c r="C12" s="23"/>
      <c r="D12" s="522"/>
      <c r="E12" s="522"/>
      <c r="F12" s="524"/>
      <c r="G12" s="524"/>
      <c r="H12" s="524"/>
      <c r="I12" s="524"/>
      <c r="J12" s="524"/>
      <c r="K12" s="524"/>
      <c r="L12" s="522"/>
      <c r="M12" s="237"/>
      <c r="N12" s="231"/>
    </row>
    <row r="13" spans="2:16" s="242" customFormat="1" ht="15" customHeight="1" x14ac:dyDescent="0.25">
      <c r="B13" s="228"/>
      <c r="C13" s="23"/>
      <c r="D13" s="503" t="s">
        <v>531</v>
      </c>
      <c r="E13" s="504"/>
      <c r="F13" s="238"/>
      <c r="G13" s="238"/>
      <c r="H13" s="238"/>
      <c r="I13" s="238"/>
      <c r="J13" s="238"/>
      <c r="K13" s="239"/>
      <c r="L13" s="253"/>
      <c r="M13" s="240"/>
      <c r="N13" s="231"/>
      <c r="O13" s="241"/>
    </row>
    <row r="14" spans="2:16" ht="15" customHeight="1" x14ac:dyDescent="0.25">
      <c r="B14" s="228"/>
      <c r="C14" s="404">
        <v>1</v>
      </c>
      <c r="D14" s="490" t="s">
        <v>467</v>
      </c>
      <c r="E14" s="491"/>
      <c r="F14" s="243">
        <f>'2. Enrollment Projections'!E45</f>
        <v>1307759.31</v>
      </c>
      <c r="G14" s="243">
        <f>'2. Enrollment Projections'!F46</f>
        <v>1305117.372</v>
      </c>
      <c r="H14" s="243">
        <f>'2. Enrollment Projections'!G46</f>
        <v>1396660.5237</v>
      </c>
      <c r="I14" s="243">
        <f>'2. Enrollment Projections'!H46</f>
        <v>1467134.21985</v>
      </c>
      <c r="J14" s="243">
        <f>'2. Enrollment Projections'!I46</f>
        <v>1569311.172</v>
      </c>
      <c r="K14" s="243">
        <f>'2. Enrollment Projections'!J46</f>
        <v>1647776.7306000001</v>
      </c>
      <c r="L14" s="310" t="s">
        <v>458</v>
      </c>
      <c r="M14" s="240"/>
      <c r="N14" s="244"/>
    </row>
    <row r="15" spans="2:16" ht="15" customHeight="1" x14ac:dyDescent="0.25">
      <c r="B15" s="228"/>
      <c r="C15" s="404">
        <v>2</v>
      </c>
      <c r="D15" s="488" t="s">
        <v>468</v>
      </c>
      <c r="E15" s="489"/>
      <c r="F15" s="413">
        <v>0</v>
      </c>
      <c r="G15" s="413">
        <v>0</v>
      </c>
      <c r="H15" s="413">
        <v>0</v>
      </c>
      <c r="I15" s="413">
        <v>0</v>
      </c>
      <c r="J15" s="413">
        <v>0</v>
      </c>
      <c r="K15" s="413">
        <v>0</v>
      </c>
      <c r="L15" s="41"/>
      <c r="M15" s="240"/>
      <c r="N15" s="244"/>
    </row>
    <row r="16" spans="2:16" ht="15" customHeight="1" x14ac:dyDescent="0.25">
      <c r="B16" s="228"/>
      <c r="C16" s="404">
        <v>3</v>
      </c>
      <c r="D16" s="488" t="s">
        <v>17</v>
      </c>
      <c r="E16" s="489"/>
      <c r="F16" s="413">
        <v>0</v>
      </c>
      <c r="G16" s="413">
        <v>0</v>
      </c>
      <c r="H16" s="413">
        <v>0</v>
      </c>
      <c r="I16" s="413">
        <v>0</v>
      </c>
      <c r="J16" s="413">
        <v>0</v>
      </c>
      <c r="K16" s="413">
        <v>0</v>
      </c>
      <c r="L16" s="41"/>
      <c r="M16" s="240"/>
      <c r="N16" s="244"/>
    </row>
    <row r="17" spans="2:21" ht="15" customHeight="1" x14ac:dyDescent="0.25">
      <c r="B17" s="228"/>
      <c r="C17" s="404">
        <v>4</v>
      </c>
      <c r="D17" s="488" t="s">
        <v>469</v>
      </c>
      <c r="E17" s="489"/>
      <c r="F17" s="413">
        <v>0</v>
      </c>
      <c r="G17" s="413">
        <v>0</v>
      </c>
      <c r="H17" s="413">
        <v>0</v>
      </c>
      <c r="I17" s="413">
        <v>0</v>
      </c>
      <c r="J17" s="413">
        <v>0</v>
      </c>
      <c r="K17" s="413">
        <v>0</v>
      </c>
      <c r="L17" s="41"/>
      <c r="M17" s="240"/>
      <c r="N17" s="244"/>
    </row>
    <row r="18" spans="2:21" ht="15" customHeight="1" x14ac:dyDescent="0.25">
      <c r="B18" s="228"/>
      <c r="C18" s="404">
        <v>5</v>
      </c>
      <c r="D18" s="488" t="s">
        <v>416</v>
      </c>
      <c r="E18" s="489"/>
      <c r="F18" s="413">
        <v>148500</v>
      </c>
      <c r="G18" s="413">
        <v>156000</v>
      </c>
      <c r="H18" s="413">
        <v>163500</v>
      </c>
      <c r="I18" s="413">
        <v>171750</v>
      </c>
      <c r="J18" s="413">
        <v>180000</v>
      </c>
      <c r="K18" s="413">
        <v>189000</v>
      </c>
      <c r="L18" s="311"/>
      <c r="M18" s="246"/>
      <c r="N18" s="244"/>
    </row>
    <row r="19" spans="2:21" ht="15" customHeight="1" x14ac:dyDescent="0.25">
      <c r="B19" s="228"/>
      <c r="C19" s="404">
        <v>6</v>
      </c>
      <c r="D19" s="488" t="s">
        <v>16</v>
      </c>
      <c r="E19" s="489"/>
      <c r="F19" s="413">
        <v>23000</v>
      </c>
      <c r="G19" s="413">
        <v>27870</v>
      </c>
      <c r="H19" s="413">
        <v>29210</v>
      </c>
      <c r="I19" s="413">
        <v>30684</v>
      </c>
      <c r="J19" s="413">
        <v>32156</v>
      </c>
      <c r="K19" s="413">
        <v>33766</v>
      </c>
      <c r="L19" s="41"/>
      <c r="M19" s="240"/>
      <c r="N19" s="244"/>
      <c r="O19" s="242"/>
      <c r="P19" s="242"/>
      <c r="Q19" s="242"/>
      <c r="R19" s="242"/>
      <c r="S19" s="242"/>
      <c r="T19" s="242"/>
      <c r="U19" s="242"/>
    </row>
    <row r="20" spans="2:21" ht="15" customHeight="1" x14ac:dyDescent="0.25">
      <c r="B20" s="228"/>
      <c r="C20" s="404">
        <v>7</v>
      </c>
      <c r="D20" s="490" t="s">
        <v>11</v>
      </c>
      <c r="E20" s="491"/>
      <c r="F20" s="413">
        <v>0</v>
      </c>
      <c r="G20" s="413">
        <v>0</v>
      </c>
      <c r="H20" s="413">
        <v>0</v>
      </c>
      <c r="I20" s="413">
        <v>0</v>
      </c>
      <c r="J20" s="413">
        <v>0</v>
      </c>
      <c r="K20" s="413">
        <v>0</v>
      </c>
      <c r="L20" s="42"/>
      <c r="M20" s="247"/>
      <c r="N20" s="248"/>
      <c r="O20" s="249"/>
    </row>
    <row r="21" spans="2:21" ht="15" customHeight="1" x14ac:dyDescent="0.25">
      <c r="B21" s="228"/>
      <c r="C21" s="404">
        <v>8</v>
      </c>
      <c r="D21" s="490" t="s">
        <v>470</v>
      </c>
      <c r="E21" s="491"/>
      <c r="F21" s="413">
        <v>0</v>
      </c>
      <c r="G21" s="413">
        <v>0</v>
      </c>
      <c r="H21" s="413">
        <v>0</v>
      </c>
      <c r="I21" s="413">
        <v>0</v>
      </c>
      <c r="J21" s="413">
        <v>0</v>
      </c>
      <c r="K21" s="413">
        <v>0</v>
      </c>
      <c r="L21" s="41"/>
      <c r="M21" s="240"/>
      <c r="N21" s="244"/>
    </row>
    <row r="22" spans="2:21" ht="15" customHeight="1" x14ac:dyDescent="0.25">
      <c r="B22" s="228"/>
      <c r="C22" s="404">
        <v>9</v>
      </c>
      <c r="D22" s="488" t="s">
        <v>12</v>
      </c>
      <c r="E22" s="489"/>
      <c r="F22" s="413">
        <v>10644</v>
      </c>
      <c r="G22" s="413">
        <v>11181.160159362553</v>
      </c>
      <c r="H22" s="413">
        <v>11718.715936254985</v>
      </c>
      <c r="I22" s="413">
        <v>12310.027290836659</v>
      </c>
      <c r="J22" s="413">
        <v>12901.338645418333</v>
      </c>
      <c r="K22" s="413">
        <v>13546.405577689249</v>
      </c>
      <c r="L22" s="41"/>
      <c r="M22" s="245"/>
      <c r="N22" s="244"/>
    </row>
    <row r="23" spans="2:21" ht="15" customHeight="1" x14ac:dyDescent="0.25">
      <c r="B23" s="228"/>
      <c r="C23" s="404">
        <v>10</v>
      </c>
      <c r="D23" s="488" t="s">
        <v>13</v>
      </c>
      <c r="E23" s="489"/>
      <c r="F23" s="413">
        <v>15000</v>
      </c>
      <c r="G23" s="413">
        <v>15000</v>
      </c>
      <c r="H23" s="413">
        <v>15450</v>
      </c>
      <c r="I23" s="413">
        <v>15913.5</v>
      </c>
      <c r="J23" s="413">
        <v>16390.904999999999</v>
      </c>
      <c r="K23" s="413">
        <v>16882.632149999998</v>
      </c>
      <c r="L23" s="41"/>
      <c r="M23" s="245"/>
      <c r="N23" s="244"/>
    </row>
    <row r="24" spans="2:21" ht="15" customHeight="1" x14ac:dyDescent="0.25">
      <c r="B24" s="228"/>
      <c r="C24" s="405">
        <v>11</v>
      </c>
      <c r="D24" s="488" t="s">
        <v>471</v>
      </c>
      <c r="E24" s="489"/>
      <c r="F24" s="413">
        <v>0</v>
      </c>
      <c r="G24" s="413">
        <v>0</v>
      </c>
      <c r="H24" s="413">
        <v>0</v>
      </c>
      <c r="I24" s="413">
        <v>0</v>
      </c>
      <c r="J24" s="413">
        <v>0</v>
      </c>
      <c r="K24" s="413">
        <v>0</v>
      </c>
      <c r="L24" s="311"/>
      <c r="M24" s="246"/>
      <c r="N24" s="244"/>
    </row>
    <row r="25" spans="2:21" ht="15" customHeight="1" x14ac:dyDescent="0.25">
      <c r="B25" s="228"/>
      <c r="C25" s="404">
        <v>12</v>
      </c>
      <c r="D25" s="488" t="s">
        <v>472</v>
      </c>
      <c r="E25" s="489"/>
      <c r="F25" s="413">
        <v>25000</v>
      </c>
      <c r="G25" s="413">
        <v>28000</v>
      </c>
      <c r="H25" s="413">
        <v>28840</v>
      </c>
      <c r="I25" s="413">
        <v>29705.200000000001</v>
      </c>
      <c r="J25" s="413">
        <v>30596.356</v>
      </c>
      <c r="K25" s="413">
        <v>31514.24668</v>
      </c>
      <c r="L25" s="41"/>
      <c r="M25" s="240"/>
      <c r="N25" s="244"/>
      <c r="O25" s="9"/>
    </row>
    <row r="26" spans="2:21" ht="15" customHeight="1" x14ac:dyDescent="0.25">
      <c r="B26" s="228"/>
      <c r="C26" s="404">
        <v>13</v>
      </c>
      <c r="D26" s="488" t="s">
        <v>473</v>
      </c>
      <c r="E26" s="489"/>
      <c r="F26" s="413">
        <v>0</v>
      </c>
      <c r="G26" s="413">
        <v>0</v>
      </c>
      <c r="H26" s="413">
        <v>0</v>
      </c>
      <c r="I26" s="413">
        <v>0</v>
      </c>
      <c r="J26" s="413">
        <v>0</v>
      </c>
      <c r="K26" s="413">
        <v>0</v>
      </c>
      <c r="L26" s="279"/>
      <c r="M26" s="240"/>
      <c r="N26" s="244"/>
      <c r="O26" s="9"/>
    </row>
    <row r="27" spans="2:21" ht="15" customHeight="1" x14ac:dyDescent="0.25">
      <c r="B27" s="228"/>
      <c r="C27" s="404"/>
      <c r="D27" s="495"/>
      <c r="E27" s="496"/>
      <c r="F27" s="353"/>
      <c r="G27" s="250"/>
      <c r="H27" s="250"/>
      <c r="I27" s="250"/>
      <c r="J27" s="250"/>
      <c r="K27" s="239"/>
      <c r="L27" s="253" t="s">
        <v>2</v>
      </c>
      <c r="M27" s="240"/>
      <c r="N27" s="248"/>
      <c r="O27" s="9"/>
    </row>
    <row r="28" spans="2:21" ht="15" customHeight="1" x14ac:dyDescent="0.25">
      <c r="B28" s="228"/>
      <c r="C28" s="404"/>
      <c r="D28" s="497" t="s">
        <v>532</v>
      </c>
      <c r="E28" s="505"/>
      <c r="F28" s="251">
        <f t="shared" ref="F28:K28" si="0">SUM(F14:F26)</f>
        <v>1529903.31</v>
      </c>
      <c r="G28" s="251">
        <f t="shared" si="0"/>
        <v>1543168.5321593625</v>
      </c>
      <c r="H28" s="251">
        <f t="shared" si="0"/>
        <v>1645379.239636255</v>
      </c>
      <c r="I28" s="251">
        <f t="shared" si="0"/>
        <v>1727496.9471408366</v>
      </c>
      <c r="J28" s="251">
        <f t="shared" si="0"/>
        <v>1841355.7716454184</v>
      </c>
      <c r="K28" s="307">
        <f t="shared" si="0"/>
        <v>1932486.0150076894</v>
      </c>
      <c r="L28" s="308"/>
      <c r="M28" s="240"/>
      <c r="N28" s="248"/>
      <c r="O28" s="9"/>
    </row>
    <row r="29" spans="2:21" ht="15" customHeight="1" x14ac:dyDescent="0.25">
      <c r="B29" s="228"/>
      <c r="C29" s="404"/>
      <c r="D29" s="499"/>
      <c r="E29" s="500"/>
      <c r="F29" s="352"/>
      <c r="G29" s="6"/>
      <c r="H29" s="6"/>
      <c r="I29" s="6"/>
      <c r="J29" s="6"/>
      <c r="K29" s="252"/>
      <c r="L29" s="240"/>
      <c r="M29" s="240"/>
      <c r="N29" s="248"/>
      <c r="O29" s="9"/>
    </row>
    <row r="30" spans="2:21" ht="15" customHeight="1" x14ac:dyDescent="0.25">
      <c r="B30" s="228"/>
      <c r="C30" s="404"/>
      <c r="D30" s="501" t="s">
        <v>18</v>
      </c>
      <c r="E30" s="502"/>
      <c r="F30" s="255"/>
      <c r="G30" s="493"/>
      <c r="H30" s="494"/>
      <c r="I30" s="494"/>
      <c r="J30" s="494"/>
      <c r="K30" s="494"/>
      <c r="L30" s="254"/>
      <c r="M30" s="240"/>
      <c r="N30" s="248"/>
      <c r="O30" s="9"/>
    </row>
    <row r="31" spans="2:21" ht="15" customHeight="1" x14ac:dyDescent="0.25">
      <c r="B31" s="228"/>
      <c r="C31" s="404">
        <v>14</v>
      </c>
      <c r="D31" s="488" t="s">
        <v>417</v>
      </c>
      <c r="E31" s="489"/>
      <c r="F31" s="413">
        <v>0</v>
      </c>
      <c r="G31" s="413">
        <v>0</v>
      </c>
      <c r="H31" s="413">
        <v>0</v>
      </c>
      <c r="I31" s="413">
        <v>0</v>
      </c>
      <c r="J31" s="413">
        <v>0</v>
      </c>
      <c r="K31" s="413">
        <v>0</v>
      </c>
      <c r="L31" s="311"/>
      <c r="M31" s="246"/>
      <c r="N31" s="248"/>
      <c r="O31" s="9"/>
    </row>
    <row r="32" spans="2:21" ht="15" customHeight="1" x14ac:dyDescent="0.25">
      <c r="B32" s="228"/>
      <c r="C32" s="404">
        <v>15</v>
      </c>
      <c r="D32" s="488" t="s">
        <v>474</v>
      </c>
      <c r="E32" s="489"/>
      <c r="F32" s="413">
        <v>0</v>
      </c>
      <c r="G32" s="413">
        <v>0</v>
      </c>
      <c r="H32" s="413">
        <v>0</v>
      </c>
      <c r="I32" s="413">
        <v>0</v>
      </c>
      <c r="J32" s="413">
        <v>0</v>
      </c>
      <c r="K32" s="413">
        <v>0</v>
      </c>
      <c r="L32" s="41"/>
      <c r="M32" s="240"/>
      <c r="N32" s="244"/>
      <c r="O32" s="9"/>
    </row>
    <row r="33" spans="2:15" ht="15" customHeight="1" x14ac:dyDescent="0.25">
      <c r="B33" s="228"/>
      <c r="C33" s="404">
        <v>16</v>
      </c>
      <c r="D33" s="488" t="s">
        <v>19</v>
      </c>
      <c r="E33" s="489"/>
      <c r="F33" s="413">
        <v>44000</v>
      </c>
      <c r="G33" s="413">
        <v>46000</v>
      </c>
      <c r="H33" s="413">
        <v>52404</v>
      </c>
      <c r="I33" s="413">
        <v>55046</v>
      </c>
      <c r="J33" s="413">
        <v>57692</v>
      </c>
      <c r="K33" s="413">
        <v>60577</v>
      </c>
      <c r="L33" s="41"/>
      <c r="M33" s="240"/>
      <c r="N33" s="248"/>
      <c r="O33" s="9"/>
    </row>
    <row r="34" spans="2:15" ht="15" customHeight="1" x14ac:dyDescent="0.25">
      <c r="B34" s="228"/>
      <c r="C34" s="404">
        <v>17</v>
      </c>
      <c r="D34" s="488" t="s">
        <v>0</v>
      </c>
      <c r="E34" s="489"/>
      <c r="F34" s="413">
        <v>195296</v>
      </c>
      <c r="G34" s="413">
        <v>179000</v>
      </c>
      <c r="H34" s="413">
        <v>198087</v>
      </c>
      <c r="I34" s="413">
        <v>212000</v>
      </c>
      <c r="J34" s="413">
        <v>218077</v>
      </c>
      <c r="K34" s="413">
        <v>228981</v>
      </c>
      <c r="L34" s="41"/>
      <c r="M34" s="240"/>
      <c r="N34" s="248"/>
      <c r="O34" s="9"/>
    </row>
    <row r="35" spans="2:15" ht="15" customHeight="1" x14ac:dyDescent="0.25">
      <c r="B35" s="228"/>
      <c r="C35" s="404">
        <v>18</v>
      </c>
      <c r="D35" s="488" t="s">
        <v>1</v>
      </c>
      <c r="E35" s="489"/>
      <c r="F35" s="413">
        <v>10436</v>
      </c>
      <c r="G35" s="413">
        <v>23000</v>
      </c>
      <c r="H35" s="413">
        <v>24106</v>
      </c>
      <c r="I35" s="413">
        <v>25322</v>
      </c>
      <c r="J35" s="413">
        <v>26538</v>
      </c>
      <c r="K35" s="413">
        <v>27865</v>
      </c>
      <c r="L35" s="41"/>
      <c r="M35" s="240"/>
      <c r="N35" s="248"/>
      <c r="O35" s="9"/>
    </row>
    <row r="36" spans="2:15" ht="15" customHeight="1" x14ac:dyDescent="0.25">
      <c r="B36" s="228"/>
      <c r="C36" s="404">
        <v>19</v>
      </c>
      <c r="D36" s="488" t="s">
        <v>9</v>
      </c>
      <c r="E36" s="489"/>
      <c r="F36" s="413">
        <v>115897</v>
      </c>
      <c r="G36" s="413">
        <v>121750.78248286853</v>
      </c>
      <c r="H36" s="413">
        <v>127604.1854868526</v>
      </c>
      <c r="I36" s="413">
        <v>138440</v>
      </c>
      <c r="J36" s="413">
        <v>140481.67209561757</v>
      </c>
      <c r="K36" s="413">
        <v>147505.75570039847</v>
      </c>
      <c r="L36" s="41"/>
      <c r="M36" s="240"/>
      <c r="N36" s="248"/>
      <c r="O36" s="9"/>
    </row>
    <row r="37" spans="2:15" ht="15" customHeight="1" x14ac:dyDescent="0.25">
      <c r="B37" s="228"/>
      <c r="C37" s="404">
        <v>20</v>
      </c>
      <c r="D37" s="488" t="s">
        <v>10</v>
      </c>
      <c r="E37" s="489"/>
      <c r="F37" s="413">
        <v>45071</v>
      </c>
      <c r="G37" s="413">
        <v>47347.526521115549</v>
      </c>
      <c r="H37" s="413">
        <v>49623.8499115538</v>
      </c>
      <c r="I37" s="413">
        <v>52127.805641035877</v>
      </c>
      <c r="J37" s="413">
        <v>54631.761370517946</v>
      </c>
      <c r="K37" s="413">
        <v>57363.349439043843</v>
      </c>
      <c r="L37" s="41"/>
      <c r="M37" s="240"/>
      <c r="N37" s="248"/>
      <c r="O37" s="9"/>
    </row>
    <row r="38" spans="2:15" ht="15" customHeight="1" x14ac:dyDescent="0.25">
      <c r="B38" s="228"/>
      <c r="C38" s="404">
        <v>21</v>
      </c>
      <c r="D38" s="488" t="s">
        <v>475</v>
      </c>
      <c r="E38" s="489"/>
      <c r="F38" s="413">
        <v>121783</v>
      </c>
      <c r="G38" s="413">
        <v>0</v>
      </c>
      <c r="H38" s="413">
        <v>0</v>
      </c>
      <c r="I38" s="413">
        <v>0</v>
      </c>
      <c r="J38" s="413">
        <v>0</v>
      </c>
      <c r="K38" s="413">
        <v>0</v>
      </c>
      <c r="L38" s="41" t="s">
        <v>549</v>
      </c>
      <c r="M38" s="240"/>
      <c r="N38" s="248"/>
    </row>
    <row r="39" spans="2:15" ht="15" customHeight="1" x14ac:dyDescent="0.25">
      <c r="B39" s="228"/>
      <c r="C39" s="404"/>
      <c r="D39" s="495"/>
      <c r="E39" s="496"/>
      <c r="F39" s="353"/>
      <c r="G39" s="250"/>
      <c r="H39" s="250"/>
      <c r="I39" s="250"/>
      <c r="J39" s="250"/>
      <c r="K39" s="239"/>
      <c r="L39" s="253"/>
      <c r="M39" s="240"/>
      <c r="N39" s="248"/>
    </row>
    <row r="40" spans="2:15" ht="15" customHeight="1" x14ac:dyDescent="0.25">
      <c r="B40" s="228"/>
      <c r="C40" s="404"/>
      <c r="D40" s="497" t="s">
        <v>533</v>
      </c>
      <c r="E40" s="498"/>
      <c r="F40" s="251">
        <f t="shared" ref="F40:K40" si="1">SUM(F31:F38)</f>
        <v>532483</v>
      </c>
      <c r="G40" s="251">
        <f t="shared" si="1"/>
        <v>417098.30900398409</v>
      </c>
      <c r="H40" s="251">
        <f t="shared" si="1"/>
        <v>451825.03539840638</v>
      </c>
      <c r="I40" s="251">
        <f t="shared" si="1"/>
        <v>482935.8056410359</v>
      </c>
      <c r="J40" s="251">
        <f t="shared" si="1"/>
        <v>497420.43346613552</v>
      </c>
      <c r="K40" s="251">
        <f t="shared" si="1"/>
        <v>522292.10513944231</v>
      </c>
      <c r="L40" s="308"/>
      <c r="M40" s="240"/>
      <c r="N40" s="248"/>
    </row>
    <row r="41" spans="2:15" ht="15" customHeight="1" x14ac:dyDescent="0.25">
      <c r="B41" s="228"/>
      <c r="C41" s="404"/>
      <c r="D41" s="499"/>
      <c r="E41" s="500"/>
      <c r="F41" s="352"/>
      <c r="G41" s="6"/>
      <c r="H41" s="6"/>
      <c r="I41" s="6"/>
      <c r="J41" s="6"/>
      <c r="K41" s="252"/>
      <c r="L41" s="240"/>
      <c r="M41" s="240"/>
      <c r="N41" s="248"/>
    </row>
    <row r="42" spans="2:15" ht="15" customHeight="1" x14ac:dyDescent="0.25">
      <c r="B42" s="228"/>
      <c r="C42" s="404"/>
      <c r="D42" s="501" t="s">
        <v>7</v>
      </c>
      <c r="E42" s="502"/>
      <c r="F42" s="255"/>
      <c r="G42" s="255"/>
      <c r="H42" s="255"/>
      <c r="I42" s="255"/>
      <c r="J42" s="255"/>
      <c r="K42" s="256"/>
      <c r="L42" s="254"/>
      <c r="M42" s="240"/>
      <c r="N42" s="248"/>
    </row>
    <row r="43" spans="2:15" ht="15" customHeight="1" x14ac:dyDescent="0.25">
      <c r="B43" s="228"/>
      <c r="C43" s="404">
        <v>22</v>
      </c>
      <c r="D43" s="488" t="s">
        <v>20</v>
      </c>
      <c r="E43" s="489"/>
      <c r="F43" s="413">
        <v>0</v>
      </c>
      <c r="G43" s="413">
        <v>0</v>
      </c>
      <c r="H43" s="413">
        <v>0</v>
      </c>
      <c r="I43" s="413">
        <v>0</v>
      </c>
      <c r="J43" s="413">
        <v>0</v>
      </c>
      <c r="K43" s="413">
        <v>0</v>
      </c>
      <c r="L43" s="41"/>
      <c r="M43" s="240"/>
      <c r="N43" s="248"/>
    </row>
    <row r="44" spans="2:15" ht="15" customHeight="1" x14ac:dyDescent="0.25">
      <c r="B44" s="228"/>
      <c r="C44" s="404">
        <v>23</v>
      </c>
      <c r="D44" s="488" t="s">
        <v>476</v>
      </c>
      <c r="E44" s="489"/>
      <c r="F44" s="413">
        <v>0</v>
      </c>
      <c r="G44" s="413">
        <v>0</v>
      </c>
      <c r="H44" s="413">
        <v>0</v>
      </c>
      <c r="I44" s="413">
        <v>0</v>
      </c>
      <c r="J44" s="413">
        <v>0</v>
      </c>
      <c r="K44" s="413">
        <v>0</v>
      </c>
      <c r="L44" s="41"/>
      <c r="M44" s="240"/>
      <c r="N44" s="248"/>
    </row>
    <row r="45" spans="2:15" ht="15" customHeight="1" x14ac:dyDescent="0.25">
      <c r="B45" s="228"/>
      <c r="C45" s="404">
        <v>24</v>
      </c>
      <c r="D45" s="488" t="s">
        <v>21</v>
      </c>
      <c r="E45" s="489"/>
      <c r="F45" s="413">
        <v>0</v>
      </c>
      <c r="G45" s="413">
        <v>0</v>
      </c>
      <c r="H45" s="413">
        <v>0</v>
      </c>
      <c r="I45" s="413">
        <v>0</v>
      </c>
      <c r="J45" s="413">
        <v>0</v>
      </c>
      <c r="K45" s="413">
        <v>0</v>
      </c>
      <c r="L45" s="41"/>
      <c r="M45" s="240"/>
      <c r="N45" s="248"/>
    </row>
    <row r="46" spans="2:15" ht="15" customHeight="1" x14ac:dyDescent="0.25">
      <c r="B46" s="228"/>
      <c r="C46" s="404">
        <v>25</v>
      </c>
      <c r="D46" s="488" t="s">
        <v>14</v>
      </c>
      <c r="E46" s="489"/>
      <c r="F46" s="413">
        <v>0</v>
      </c>
      <c r="G46" s="413">
        <v>0</v>
      </c>
      <c r="H46" s="413">
        <v>0</v>
      </c>
      <c r="I46" s="413">
        <v>0</v>
      </c>
      <c r="J46" s="413">
        <v>0</v>
      </c>
      <c r="K46" s="413">
        <v>0</v>
      </c>
      <c r="L46" s="41"/>
      <c r="M46" s="240"/>
      <c r="N46" s="257"/>
    </row>
    <row r="47" spans="2:15" ht="15" customHeight="1" x14ac:dyDescent="0.25">
      <c r="B47" s="228"/>
      <c r="C47" s="404">
        <v>26</v>
      </c>
      <c r="D47" s="488" t="s">
        <v>22</v>
      </c>
      <c r="E47" s="489"/>
      <c r="F47" s="413">
        <v>0</v>
      </c>
      <c r="G47" s="413">
        <v>0</v>
      </c>
      <c r="H47" s="413">
        <v>0</v>
      </c>
      <c r="I47" s="413">
        <v>0</v>
      </c>
      <c r="J47" s="413">
        <v>0</v>
      </c>
      <c r="K47" s="413">
        <v>0</v>
      </c>
      <c r="L47" s="41"/>
      <c r="M47" s="240"/>
      <c r="N47" s="257"/>
    </row>
    <row r="48" spans="2:15" ht="15" customHeight="1" x14ac:dyDescent="0.25">
      <c r="B48" s="228"/>
      <c r="C48" s="404"/>
      <c r="D48" s="495"/>
      <c r="E48" s="496"/>
      <c r="F48" s="353"/>
      <c r="G48" s="250"/>
      <c r="H48" s="250"/>
      <c r="I48" s="250"/>
      <c r="J48" s="250"/>
      <c r="K48" s="239"/>
      <c r="L48" s="253"/>
      <c r="M48" s="240"/>
      <c r="N48" s="257"/>
    </row>
    <row r="49" spans="2:15" ht="15" customHeight="1" x14ac:dyDescent="0.25">
      <c r="B49" s="228"/>
      <c r="C49" s="404"/>
      <c r="D49" s="497" t="s">
        <v>534</v>
      </c>
      <c r="E49" s="498"/>
      <c r="F49" s="251">
        <f t="shared" ref="F49:K49" si="2">SUM(F43:F47)</f>
        <v>0</v>
      </c>
      <c r="G49" s="251">
        <f t="shared" si="2"/>
        <v>0</v>
      </c>
      <c r="H49" s="251">
        <f t="shared" si="2"/>
        <v>0</v>
      </c>
      <c r="I49" s="251">
        <f t="shared" si="2"/>
        <v>0</v>
      </c>
      <c r="J49" s="251">
        <f t="shared" si="2"/>
        <v>0</v>
      </c>
      <c r="K49" s="251">
        <f t="shared" si="2"/>
        <v>0</v>
      </c>
      <c r="L49" s="308"/>
      <c r="M49" s="240"/>
      <c r="N49" s="257"/>
    </row>
    <row r="50" spans="2:15" ht="15" customHeight="1" x14ac:dyDescent="0.25">
      <c r="B50" s="228"/>
      <c r="C50" s="404"/>
      <c r="D50" s="506"/>
      <c r="E50" s="507"/>
      <c r="F50" s="352"/>
      <c r="G50" s="250"/>
      <c r="H50" s="250"/>
      <c r="I50" s="250"/>
      <c r="J50" s="250"/>
      <c r="K50" s="239"/>
      <c r="L50" s="240"/>
      <c r="M50" s="240"/>
      <c r="N50" s="257"/>
    </row>
    <row r="51" spans="2:15" ht="15" customHeight="1" x14ac:dyDescent="0.25">
      <c r="B51" s="228"/>
      <c r="C51" s="404"/>
      <c r="D51" s="497" t="s">
        <v>535</v>
      </c>
      <c r="E51" s="498"/>
      <c r="F51" s="251">
        <f t="shared" ref="F51:K51" si="3">F28+F40+F49</f>
        <v>2062386.31</v>
      </c>
      <c r="G51" s="251">
        <f t="shared" si="3"/>
        <v>1960266.8411633465</v>
      </c>
      <c r="H51" s="251">
        <f t="shared" si="3"/>
        <v>2097204.2750346614</v>
      </c>
      <c r="I51" s="251">
        <f t="shared" si="3"/>
        <v>2210432.7527818726</v>
      </c>
      <c r="J51" s="251">
        <f t="shared" si="3"/>
        <v>2338776.2051115539</v>
      </c>
      <c r="K51" s="251">
        <f t="shared" si="3"/>
        <v>2454778.1201471318</v>
      </c>
      <c r="L51" s="308"/>
      <c r="M51" s="240"/>
      <c r="N51" s="257"/>
    </row>
    <row r="52" spans="2:15" ht="15" customHeight="1" x14ac:dyDescent="0.25">
      <c r="B52" s="228"/>
      <c r="C52" s="404"/>
      <c r="D52" s="34"/>
      <c r="E52" s="258"/>
      <c r="F52" s="352"/>
      <c r="G52" s="6"/>
      <c r="H52" s="6"/>
      <c r="I52" s="6"/>
      <c r="J52" s="6"/>
      <c r="K52" s="252"/>
      <c r="L52" s="245"/>
      <c r="M52" s="240"/>
      <c r="N52" s="257"/>
    </row>
    <row r="53" spans="2:15" s="242" customFormat="1" ht="15" customHeight="1" x14ac:dyDescent="0.25">
      <c r="B53" s="228"/>
      <c r="C53" s="404"/>
      <c r="D53" s="508" t="s">
        <v>23</v>
      </c>
      <c r="E53" s="509"/>
      <c r="F53" s="397"/>
      <c r="G53" s="4"/>
      <c r="H53" s="4"/>
      <c r="I53" s="4"/>
      <c r="J53" s="4"/>
      <c r="K53" s="229"/>
      <c r="L53" s="240"/>
      <c r="M53" s="240"/>
      <c r="N53" s="248"/>
      <c r="O53" s="260"/>
    </row>
    <row r="54" spans="2:15" s="242" customFormat="1" ht="15" customHeight="1" x14ac:dyDescent="0.25">
      <c r="B54" s="228"/>
      <c r="C54" s="404"/>
      <c r="D54" s="510"/>
      <c r="E54" s="511"/>
      <c r="F54" s="396"/>
      <c r="G54" s="2"/>
      <c r="H54" s="2"/>
      <c r="I54" s="2"/>
      <c r="J54" s="2"/>
      <c r="K54" s="229"/>
      <c r="L54" s="240"/>
      <c r="M54" s="240"/>
      <c r="N54" s="248"/>
      <c r="O54" s="260"/>
    </row>
    <row r="55" spans="2:15" ht="15" customHeight="1" x14ac:dyDescent="0.25">
      <c r="B55" s="228"/>
      <c r="C55" s="404"/>
      <c r="D55" s="501" t="s">
        <v>477</v>
      </c>
      <c r="E55" s="502"/>
      <c r="F55" s="255"/>
      <c r="G55" s="255"/>
      <c r="H55" s="255"/>
      <c r="I55" s="255"/>
      <c r="J55" s="255"/>
      <c r="K55" s="256"/>
      <c r="L55" s="261"/>
      <c r="M55" s="245"/>
      <c r="N55" s="244"/>
    </row>
    <row r="56" spans="2:15" ht="15" customHeight="1" x14ac:dyDescent="0.25">
      <c r="B56" s="228"/>
      <c r="C56" s="404">
        <v>27</v>
      </c>
      <c r="D56" s="488" t="s">
        <v>478</v>
      </c>
      <c r="E56" s="489"/>
      <c r="F56" s="413">
        <v>0</v>
      </c>
      <c r="G56" s="413">
        <v>0</v>
      </c>
      <c r="H56" s="413">
        <v>0</v>
      </c>
      <c r="I56" s="413">
        <v>0</v>
      </c>
      <c r="J56" s="413">
        <v>0</v>
      </c>
      <c r="K56" s="413">
        <v>0</v>
      </c>
      <c r="L56" s="41"/>
      <c r="M56" s="240"/>
      <c r="N56" s="257"/>
    </row>
    <row r="57" spans="2:15" ht="15" customHeight="1" x14ac:dyDescent="0.25">
      <c r="B57" s="228"/>
      <c r="C57" s="404">
        <v>28</v>
      </c>
      <c r="D57" s="488" t="s">
        <v>479</v>
      </c>
      <c r="E57" s="489"/>
      <c r="F57" s="413">
        <v>95543</v>
      </c>
      <c r="G57" s="413">
        <v>98409.561405000015</v>
      </c>
      <c r="H57" s="413">
        <v>101361.84824715002</v>
      </c>
      <c r="I57" s="413">
        <v>104402.70369456452</v>
      </c>
      <c r="J57" s="413">
        <v>107534.78480540146</v>
      </c>
      <c r="K57" s="413">
        <v>110760.82834956351</v>
      </c>
      <c r="L57" s="41"/>
      <c r="M57" s="240"/>
      <c r="N57" s="257"/>
    </row>
    <row r="58" spans="2:15" ht="15" customHeight="1" x14ac:dyDescent="0.25">
      <c r="B58" s="228"/>
      <c r="C58" s="404">
        <v>29</v>
      </c>
      <c r="D58" s="488" t="s">
        <v>480</v>
      </c>
      <c r="E58" s="489"/>
      <c r="F58" s="413">
        <v>54668</v>
      </c>
      <c r="G58" s="413">
        <v>56307.723687000012</v>
      </c>
      <c r="H58" s="413">
        <v>57996.955397610014</v>
      </c>
      <c r="I58" s="413">
        <v>59736.864059538319</v>
      </c>
      <c r="J58" s="413">
        <v>61528.969981324466</v>
      </c>
      <c r="K58" s="413">
        <v>63374.839080764199</v>
      </c>
      <c r="L58" s="279"/>
      <c r="M58" s="240"/>
      <c r="N58" s="257"/>
    </row>
    <row r="59" spans="2:15" ht="15" customHeight="1" x14ac:dyDescent="0.25">
      <c r="B59" s="228"/>
      <c r="C59" s="404">
        <v>30</v>
      </c>
      <c r="D59" s="488" t="s">
        <v>24</v>
      </c>
      <c r="E59" s="489"/>
      <c r="F59" s="413">
        <v>0</v>
      </c>
      <c r="G59" s="413">
        <v>0</v>
      </c>
      <c r="H59" s="413">
        <v>0</v>
      </c>
      <c r="I59" s="413">
        <v>0</v>
      </c>
      <c r="J59" s="413">
        <v>0</v>
      </c>
      <c r="K59" s="413">
        <v>0</v>
      </c>
      <c r="L59" s="41"/>
      <c r="M59" s="240"/>
      <c r="N59" s="248"/>
    </row>
    <row r="60" spans="2:15" ht="15" customHeight="1" x14ac:dyDescent="0.25">
      <c r="B60" s="228"/>
      <c r="C60" s="404"/>
      <c r="D60" s="33"/>
      <c r="E60" s="6"/>
      <c r="F60" s="353"/>
      <c r="G60" s="250"/>
      <c r="H60" s="250"/>
      <c r="I60" s="250"/>
      <c r="J60" s="250"/>
      <c r="K60" s="239"/>
      <c r="L60" s="259"/>
      <c r="M60" s="240"/>
      <c r="N60" s="248"/>
    </row>
    <row r="61" spans="2:15" ht="15" customHeight="1" x14ac:dyDescent="0.25">
      <c r="B61" s="228"/>
      <c r="C61" s="404"/>
      <c r="D61" s="497" t="s">
        <v>25</v>
      </c>
      <c r="E61" s="505"/>
      <c r="F61" s="251">
        <f t="shared" ref="F61:K61" si="4">SUM(F56:F59)</f>
        <v>150211</v>
      </c>
      <c r="G61" s="251">
        <f t="shared" si="4"/>
        <v>154717.28509200003</v>
      </c>
      <c r="H61" s="251">
        <f t="shared" si="4"/>
        <v>159358.80364476005</v>
      </c>
      <c r="I61" s="251">
        <f t="shared" si="4"/>
        <v>164139.56775410284</v>
      </c>
      <c r="J61" s="251">
        <f t="shared" si="4"/>
        <v>169063.75478672591</v>
      </c>
      <c r="K61" s="251">
        <f t="shared" si="4"/>
        <v>174135.66743032771</v>
      </c>
      <c r="L61" s="308"/>
      <c r="M61" s="240"/>
      <c r="N61" s="248"/>
    </row>
    <row r="62" spans="2:15" ht="15" customHeight="1" x14ac:dyDescent="0.25">
      <c r="B62" s="228"/>
      <c r="C62" s="404"/>
      <c r="D62" s="25"/>
      <c r="E62" s="255"/>
      <c r="F62" s="4"/>
      <c r="G62" s="6"/>
      <c r="H62" s="6"/>
      <c r="I62" s="6"/>
      <c r="J62" s="6"/>
      <c r="K62" s="252"/>
      <c r="L62" s="245"/>
      <c r="M62" s="240"/>
      <c r="N62" s="248"/>
    </row>
    <row r="63" spans="2:15" ht="15" customHeight="1" x14ac:dyDescent="0.25">
      <c r="B63" s="228"/>
      <c r="C63" s="404"/>
      <c r="D63" s="501" t="s">
        <v>482</v>
      </c>
      <c r="E63" s="502"/>
      <c r="F63" s="255"/>
      <c r="G63" s="255"/>
      <c r="H63" s="255"/>
      <c r="I63" s="255"/>
      <c r="J63" s="255"/>
      <c r="K63" s="256"/>
      <c r="L63" s="36"/>
      <c r="M63" s="262"/>
      <c r="N63" s="257"/>
      <c r="O63" s="263"/>
    </row>
    <row r="64" spans="2:15" ht="15" customHeight="1" x14ac:dyDescent="0.25">
      <c r="B64" s="228"/>
      <c r="C64" s="404">
        <v>31</v>
      </c>
      <c r="D64" s="488" t="s">
        <v>481</v>
      </c>
      <c r="E64" s="489"/>
      <c r="F64" s="438">
        <v>450000</v>
      </c>
      <c r="G64" s="413">
        <v>463500</v>
      </c>
      <c r="H64" s="413">
        <v>477405</v>
      </c>
      <c r="I64" s="413">
        <v>491727.15</v>
      </c>
      <c r="J64" s="413">
        <v>557978.9645</v>
      </c>
      <c r="K64" s="413">
        <v>574718.33343500004</v>
      </c>
      <c r="L64" s="277"/>
      <c r="M64" s="240"/>
      <c r="N64" s="257"/>
    </row>
    <row r="65" spans="2:15" ht="15" customHeight="1" x14ac:dyDescent="0.25">
      <c r="B65" s="228"/>
      <c r="C65" s="404">
        <v>32</v>
      </c>
      <c r="D65" s="488" t="s">
        <v>26</v>
      </c>
      <c r="E65" s="489"/>
      <c r="F65" s="438">
        <v>75000</v>
      </c>
      <c r="G65" s="413">
        <v>49000</v>
      </c>
      <c r="H65" s="413">
        <v>50470</v>
      </c>
      <c r="I65" s="413">
        <v>51984.1</v>
      </c>
      <c r="J65" s="413">
        <v>53543.623</v>
      </c>
      <c r="K65" s="413">
        <v>55149.931689999998</v>
      </c>
      <c r="L65" s="41"/>
      <c r="M65" s="240"/>
      <c r="N65" s="248"/>
    </row>
    <row r="66" spans="2:15" ht="15" customHeight="1" x14ac:dyDescent="0.25">
      <c r="B66" s="228"/>
      <c r="C66" s="404">
        <v>33</v>
      </c>
      <c r="D66" s="488" t="s">
        <v>27</v>
      </c>
      <c r="E66" s="489"/>
      <c r="F66" s="438">
        <v>50000</v>
      </c>
      <c r="G66" s="413">
        <v>0</v>
      </c>
      <c r="H66" s="413">
        <v>0</v>
      </c>
      <c r="I66" s="413">
        <v>0</v>
      </c>
      <c r="J66" s="413">
        <v>0</v>
      </c>
      <c r="K66" s="413">
        <v>0</v>
      </c>
      <c r="L66" s="41"/>
      <c r="M66" s="240"/>
      <c r="N66" s="248"/>
    </row>
    <row r="67" spans="2:15" ht="15" customHeight="1" x14ac:dyDescent="0.25">
      <c r="B67" s="228"/>
      <c r="C67" s="404">
        <v>34</v>
      </c>
      <c r="D67" s="488" t="s">
        <v>28</v>
      </c>
      <c r="E67" s="489"/>
      <c r="F67" s="438">
        <v>0</v>
      </c>
      <c r="G67" s="413">
        <v>0</v>
      </c>
      <c r="H67" s="413">
        <v>0</v>
      </c>
      <c r="I67" s="413">
        <v>0</v>
      </c>
      <c r="J67" s="413">
        <v>0</v>
      </c>
      <c r="K67" s="413">
        <v>0</v>
      </c>
      <c r="L67" s="41"/>
      <c r="M67" s="240"/>
      <c r="N67" s="248"/>
    </row>
    <row r="68" spans="2:15" ht="15" customHeight="1" x14ac:dyDescent="0.25">
      <c r="B68" s="228"/>
      <c r="C68" s="404"/>
      <c r="D68" s="33"/>
      <c r="E68" s="6"/>
      <c r="F68" s="353"/>
      <c r="G68" s="250"/>
      <c r="H68" s="250"/>
      <c r="I68" s="250"/>
      <c r="J68" s="250"/>
      <c r="K68" s="239"/>
      <c r="L68" s="259"/>
      <c r="M68" s="240"/>
      <c r="N68" s="248"/>
    </row>
    <row r="69" spans="2:15" ht="15" customHeight="1" x14ac:dyDescent="0.25">
      <c r="B69" s="228"/>
      <c r="C69" s="404"/>
      <c r="D69" s="497" t="s">
        <v>29</v>
      </c>
      <c r="E69" s="505"/>
      <c r="F69" s="313">
        <f t="shared" ref="F69:K69" si="5">SUM(F64:F67)</f>
        <v>575000</v>
      </c>
      <c r="G69" s="313">
        <f t="shared" si="5"/>
        <v>512500</v>
      </c>
      <c r="H69" s="313">
        <f t="shared" si="5"/>
        <v>527875</v>
      </c>
      <c r="I69" s="313">
        <f t="shared" si="5"/>
        <v>543711.25</v>
      </c>
      <c r="J69" s="313">
        <f t="shared" si="5"/>
        <v>611522.58750000002</v>
      </c>
      <c r="K69" s="313">
        <f t="shared" si="5"/>
        <v>629868.26512500003</v>
      </c>
      <c r="L69" s="308"/>
      <c r="M69" s="240"/>
      <c r="N69" s="248"/>
    </row>
    <row r="70" spans="2:15" s="242" customFormat="1" ht="15" customHeight="1" x14ac:dyDescent="0.25">
      <c r="B70" s="228"/>
      <c r="C70" s="404"/>
      <c r="D70" s="34"/>
      <c r="E70" s="258"/>
      <c r="F70" s="352"/>
      <c r="G70" s="6"/>
      <c r="H70" s="6"/>
      <c r="I70" s="6"/>
      <c r="J70" s="6"/>
      <c r="K70" s="252"/>
      <c r="L70" s="245"/>
      <c r="M70" s="240"/>
      <c r="N70" s="248"/>
      <c r="O70" s="260"/>
    </row>
    <row r="71" spans="2:15" s="242" customFormat="1" ht="15" customHeight="1" x14ac:dyDescent="0.25">
      <c r="B71" s="228"/>
      <c r="C71" s="404"/>
      <c r="D71" s="501" t="s">
        <v>30</v>
      </c>
      <c r="E71" s="502"/>
      <c r="F71" s="255"/>
      <c r="G71" s="255"/>
      <c r="H71" s="255"/>
      <c r="I71" s="255"/>
      <c r="J71" s="255"/>
      <c r="K71" s="256"/>
      <c r="L71" s="254"/>
      <c r="M71" s="240"/>
      <c r="N71" s="248"/>
      <c r="O71" s="260"/>
    </row>
    <row r="72" spans="2:15" ht="15" customHeight="1" x14ac:dyDescent="0.25">
      <c r="B72" s="228"/>
      <c r="C72" s="404">
        <v>35</v>
      </c>
      <c r="D72" s="488" t="s">
        <v>483</v>
      </c>
      <c r="E72" s="489"/>
      <c r="F72" s="438">
        <v>0</v>
      </c>
      <c r="G72" s="413">
        <v>0</v>
      </c>
      <c r="H72" s="413">
        <v>0</v>
      </c>
      <c r="I72" s="413">
        <v>0</v>
      </c>
      <c r="J72" s="413">
        <v>0</v>
      </c>
      <c r="K72" s="413">
        <v>0</v>
      </c>
      <c r="L72" s="41"/>
      <c r="M72" s="240"/>
      <c r="N72" s="244"/>
    </row>
    <row r="73" spans="2:15" ht="15" customHeight="1" x14ac:dyDescent="0.25">
      <c r="B73" s="228"/>
      <c r="C73" s="404">
        <v>36</v>
      </c>
      <c r="D73" s="488" t="s">
        <v>484</v>
      </c>
      <c r="E73" s="489"/>
      <c r="F73" s="438">
        <v>0</v>
      </c>
      <c r="G73" s="413">
        <v>0</v>
      </c>
      <c r="H73" s="413">
        <v>0</v>
      </c>
      <c r="I73" s="413">
        <v>0</v>
      </c>
      <c r="J73" s="413">
        <v>0</v>
      </c>
      <c r="K73" s="413">
        <v>0</v>
      </c>
      <c r="L73" s="278"/>
      <c r="M73" s="264"/>
      <c r="N73" s="257"/>
    </row>
    <row r="74" spans="2:15" ht="15" customHeight="1" x14ac:dyDescent="0.25">
      <c r="B74" s="228"/>
      <c r="C74" s="404">
        <v>37</v>
      </c>
      <c r="D74" s="488" t="s">
        <v>485</v>
      </c>
      <c r="E74" s="489"/>
      <c r="F74" s="438">
        <v>0</v>
      </c>
      <c r="G74" s="413">
        <v>0</v>
      </c>
      <c r="H74" s="413">
        <v>0</v>
      </c>
      <c r="I74" s="413">
        <v>0</v>
      </c>
      <c r="J74" s="413">
        <v>0</v>
      </c>
      <c r="K74" s="413">
        <v>0</v>
      </c>
      <c r="L74" s="41"/>
      <c r="M74" s="240"/>
      <c r="N74" s="248"/>
    </row>
    <row r="75" spans="2:15" ht="15" customHeight="1" x14ac:dyDescent="0.25">
      <c r="B75" s="228"/>
      <c r="C75" s="404">
        <v>38</v>
      </c>
      <c r="D75" s="488" t="s">
        <v>486</v>
      </c>
      <c r="E75" s="489"/>
      <c r="F75" s="438">
        <v>0</v>
      </c>
      <c r="G75" s="413">
        <v>0</v>
      </c>
      <c r="H75" s="413">
        <v>0</v>
      </c>
      <c r="I75" s="413">
        <v>0</v>
      </c>
      <c r="J75" s="413">
        <v>0</v>
      </c>
      <c r="K75" s="413">
        <v>0</v>
      </c>
      <c r="L75" s="278"/>
      <c r="M75" s="264"/>
      <c r="N75" s="248"/>
    </row>
    <row r="76" spans="2:15" ht="15" customHeight="1" x14ac:dyDescent="0.25">
      <c r="B76" s="228"/>
      <c r="C76" s="404">
        <v>39</v>
      </c>
      <c r="D76" s="488" t="s">
        <v>31</v>
      </c>
      <c r="E76" s="489"/>
      <c r="F76" s="438">
        <v>0</v>
      </c>
      <c r="G76" s="413">
        <v>0</v>
      </c>
      <c r="H76" s="413">
        <v>0</v>
      </c>
      <c r="I76" s="413">
        <v>0</v>
      </c>
      <c r="J76" s="413">
        <v>0</v>
      </c>
      <c r="K76" s="413">
        <v>0</v>
      </c>
      <c r="L76" s="41"/>
      <c r="M76" s="240"/>
      <c r="N76" s="257"/>
    </row>
    <row r="77" spans="2:15" ht="15" customHeight="1" x14ac:dyDescent="0.25">
      <c r="B77" s="228"/>
      <c r="C77" s="404">
        <v>40</v>
      </c>
      <c r="D77" s="488" t="s">
        <v>487</v>
      </c>
      <c r="E77" s="489"/>
      <c r="F77" s="438">
        <v>0</v>
      </c>
      <c r="G77" s="413">
        <v>0</v>
      </c>
      <c r="H77" s="413">
        <v>0</v>
      </c>
      <c r="I77" s="413">
        <v>0</v>
      </c>
      <c r="J77" s="413">
        <v>0</v>
      </c>
      <c r="K77" s="413">
        <v>0</v>
      </c>
      <c r="L77" s="41"/>
      <c r="M77" s="240"/>
      <c r="N77" s="248"/>
    </row>
    <row r="78" spans="2:15" ht="15" customHeight="1" x14ac:dyDescent="0.25">
      <c r="B78" s="228"/>
      <c r="C78" s="404">
        <v>41</v>
      </c>
      <c r="D78" s="490" t="s">
        <v>488</v>
      </c>
      <c r="E78" s="491"/>
      <c r="F78" s="438">
        <v>73379</v>
      </c>
      <c r="G78" s="413">
        <v>65280.092824500018</v>
      </c>
      <c r="H78" s="413">
        <v>67238.497409235017</v>
      </c>
      <c r="I78" s="413">
        <v>69255.65413151207</v>
      </c>
      <c r="J78" s="413">
        <v>71333.325555457428</v>
      </c>
      <c r="K78" s="413">
        <v>73473.317122121138</v>
      </c>
      <c r="L78" s="41"/>
      <c r="M78" s="240"/>
      <c r="N78" s="248"/>
    </row>
    <row r="79" spans="2:15" ht="15" customHeight="1" x14ac:dyDescent="0.25">
      <c r="B79" s="228"/>
      <c r="C79" s="404">
        <v>42</v>
      </c>
      <c r="D79" s="488" t="s">
        <v>489</v>
      </c>
      <c r="E79" s="489"/>
      <c r="F79" s="438">
        <v>18251</v>
      </c>
      <c r="G79" s="413">
        <v>18798.617549999999</v>
      </c>
      <c r="H79" s="413">
        <v>19362.576076499998</v>
      </c>
      <c r="I79" s="413">
        <v>19943.453358794999</v>
      </c>
      <c r="J79" s="413">
        <v>20541.75695955885</v>
      </c>
      <c r="K79" s="413">
        <v>21158.009668345618</v>
      </c>
      <c r="L79" s="41"/>
      <c r="M79" s="240"/>
      <c r="N79" s="248"/>
    </row>
    <row r="80" spans="2:15" ht="15" customHeight="1" x14ac:dyDescent="0.25">
      <c r="B80" s="228"/>
      <c r="C80" s="404">
        <v>43</v>
      </c>
      <c r="D80" s="488" t="s">
        <v>32</v>
      </c>
      <c r="E80" s="489"/>
      <c r="F80" s="438">
        <v>0</v>
      </c>
      <c r="G80" s="413">
        <v>0</v>
      </c>
      <c r="H80" s="413">
        <v>0</v>
      </c>
      <c r="I80" s="413">
        <v>0</v>
      </c>
      <c r="J80" s="413">
        <v>0</v>
      </c>
      <c r="K80" s="413">
        <v>0</v>
      </c>
      <c r="L80" s="41"/>
      <c r="M80" s="240"/>
      <c r="N80" s="248"/>
    </row>
    <row r="81" spans="2:15" ht="15" customHeight="1" x14ac:dyDescent="0.25">
      <c r="B81" s="228"/>
      <c r="C81" s="404"/>
      <c r="D81" s="33"/>
      <c r="E81" s="6"/>
      <c r="F81" s="353"/>
      <c r="G81" s="250"/>
      <c r="H81" s="250"/>
      <c r="I81" s="250"/>
      <c r="J81" s="250"/>
      <c r="K81" s="239"/>
      <c r="L81" s="259"/>
      <c r="M81" s="240"/>
      <c r="N81" s="248"/>
    </row>
    <row r="82" spans="2:15" s="242" customFormat="1" ht="15" customHeight="1" x14ac:dyDescent="0.25">
      <c r="B82" s="228"/>
      <c r="C82" s="404"/>
      <c r="D82" s="497" t="s">
        <v>33</v>
      </c>
      <c r="E82" s="505"/>
      <c r="F82" s="313">
        <f t="shared" ref="F82:K82" si="6">SUM(F72:F80)</f>
        <v>91630</v>
      </c>
      <c r="G82" s="313">
        <f t="shared" si="6"/>
        <v>84078.71037450002</v>
      </c>
      <c r="H82" s="313">
        <f t="shared" si="6"/>
        <v>86601.073485735018</v>
      </c>
      <c r="I82" s="313">
        <f t="shared" si="6"/>
        <v>89199.107490307069</v>
      </c>
      <c r="J82" s="313">
        <f t="shared" si="6"/>
        <v>91875.082515016285</v>
      </c>
      <c r="K82" s="313">
        <f t="shared" si="6"/>
        <v>94631.326790466759</v>
      </c>
      <c r="L82" s="308"/>
      <c r="M82" s="240"/>
      <c r="N82" s="248"/>
      <c r="O82" s="260"/>
    </row>
    <row r="83" spans="2:15" s="242" customFormat="1" ht="15" customHeight="1" x14ac:dyDescent="0.25">
      <c r="B83" s="228"/>
      <c r="C83" s="404"/>
      <c r="D83" s="35"/>
      <c r="E83" s="2"/>
      <c r="F83" s="352"/>
      <c r="G83" s="250"/>
      <c r="H83" s="250"/>
      <c r="I83" s="250"/>
      <c r="J83" s="250"/>
      <c r="K83" s="250"/>
      <c r="L83" s="245"/>
      <c r="M83" s="240"/>
      <c r="N83" s="248"/>
      <c r="O83" s="260"/>
    </row>
    <row r="84" spans="2:15" ht="15" customHeight="1" x14ac:dyDescent="0.25">
      <c r="B84" s="228"/>
      <c r="C84" s="404"/>
      <c r="D84" s="497" t="s">
        <v>34</v>
      </c>
      <c r="E84" s="505"/>
      <c r="F84" s="251">
        <f t="shared" ref="F84:K84" si="7">F61+F69+F82</f>
        <v>816841</v>
      </c>
      <c r="G84" s="251">
        <f t="shared" si="7"/>
        <v>751295.99546650006</v>
      </c>
      <c r="H84" s="251">
        <f t="shared" si="7"/>
        <v>773834.87713049504</v>
      </c>
      <c r="I84" s="251">
        <f t="shared" si="7"/>
        <v>797049.92524440994</v>
      </c>
      <c r="J84" s="251">
        <f t="shared" si="7"/>
        <v>872461.42480174231</v>
      </c>
      <c r="K84" s="251">
        <f t="shared" si="7"/>
        <v>898635.25934579456</v>
      </c>
      <c r="L84" s="308" t="s">
        <v>2</v>
      </c>
      <c r="M84" s="240"/>
      <c r="N84" s="244"/>
    </row>
    <row r="85" spans="2:15" ht="15" customHeight="1" x14ac:dyDescent="0.25">
      <c r="B85" s="228"/>
      <c r="C85" s="404"/>
      <c r="D85" s="34"/>
      <c r="E85" s="258"/>
      <c r="F85" s="352"/>
      <c r="G85" s="312" t="str">
        <f>IF((ROUND(G84,2)=ROUND('3. Staffing Plan'!M62,2)), "","ERROR")</f>
        <v/>
      </c>
      <c r="H85" s="312" t="str">
        <f>IF((ROUND(H84,2)=ROUND('3. Staffing Plan'!Q62,2)), "","ERROR")</f>
        <v/>
      </c>
      <c r="I85" s="312" t="str">
        <f>IF((ROUND(I84,2)=ROUND('3. Staffing Plan'!U62,2)), "","ERROR")</f>
        <v/>
      </c>
      <c r="J85" s="312" t="str">
        <f>IF((ROUND(J84,2)=ROUND('3. Staffing Plan'!Y62,2)), "","ERROR")</f>
        <v/>
      </c>
      <c r="K85" s="312" t="str">
        <f>IF((ROUND(K84,2)=ROUND('3. Staffing Plan'!AC62,2)), "","ERROR")</f>
        <v/>
      </c>
      <c r="L85" s="245" t="str">
        <f>IF(COUNTIF(G85:K85,"ERROR"),"Tab 3 and Tab 5 Values do not match.","")</f>
        <v/>
      </c>
      <c r="M85" s="240"/>
      <c r="N85" s="265"/>
    </row>
    <row r="86" spans="2:15" ht="15" customHeight="1" x14ac:dyDescent="0.25">
      <c r="B86" s="228"/>
      <c r="C86" s="404"/>
      <c r="D86" s="501" t="s">
        <v>418</v>
      </c>
      <c r="E86" s="502"/>
      <c r="F86" s="255"/>
      <c r="G86" s="255"/>
      <c r="H86" s="255"/>
      <c r="I86" s="255"/>
      <c r="J86" s="255"/>
      <c r="K86" s="256"/>
      <c r="L86" s="240"/>
      <c r="M86" s="240"/>
      <c r="N86" s="257"/>
    </row>
    <row r="87" spans="2:15" ht="15" customHeight="1" x14ac:dyDescent="0.25">
      <c r="B87" s="228"/>
      <c r="C87" s="404">
        <v>44</v>
      </c>
      <c r="D87" s="488" t="s">
        <v>415</v>
      </c>
      <c r="E87" s="489"/>
      <c r="F87" s="243">
        <f>F84*('3. Staffing Plan'!G53+'3. Staffing Plan'!G54+'3. Staffing Plan'!G55)</f>
        <v>82909.361499999999</v>
      </c>
      <c r="G87" s="243">
        <f>G84*('3. Staffing Plan'!L53+'3. Staffing Plan'!L54+'3. Staffing Plan'!L55)</f>
        <v>76256.543539849765</v>
      </c>
      <c r="H87" s="243">
        <f>H84*('3. Staffing Plan'!P53+'3. Staffing Plan'!P54+'3. Staffing Plan'!P55)</f>
        <v>78544.240028745247</v>
      </c>
      <c r="I87" s="243">
        <f>I84*('3. Staffing Plan'!T53+'3. Staffing Plan'!T54+'3. Staffing Plan'!T55)</f>
        <v>80900.567412307617</v>
      </c>
      <c r="J87" s="243">
        <f>J84*('3. Staffing Plan'!X53+'3. Staffing Plan'!X54+'3. Staffing Plan'!X55)</f>
        <v>88554.834617376851</v>
      </c>
      <c r="K87" s="243">
        <f>K84*('3. Staffing Plan'!AB53+'3. Staffing Plan'!AB54+'3. Staffing Plan'!AB55)</f>
        <v>91211.478823598154</v>
      </c>
      <c r="L87" s="308"/>
      <c r="M87" s="240"/>
      <c r="N87" s="257"/>
    </row>
    <row r="88" spans="2:15" ht="15" customHeight="1" x14ac:dyDescent="0.25">
      <c r="B88" s="228"/>
      <c r="C88" s="404">
        <v>45</v>
      </c>
      <c r="D88" s="488" t="s">
        <v>413</v>
      </c>
      <c r="E88" s="489"/>
      <c r="F88" s="243">
        <f>'3. Staffing Plan'!H51</f>
        <v>48039.135000000002</v>
      </c>
      <c r="G88" s="243">
        <f>'3. Staffing Plan'!M51</f>
        <v>42794.720800000003</v>
      </c>
      <c r="H88" s="243">
        <f>'3. Staffing Plan'!Q51</f>
        <v>44078.562424000003</v>
      </c>
      <c r="I88" s="243">
        <f>'3. Staffing Plan'!U51</f>
        <v>45400.918400000002</v>
      </c>
      <c r="J88" s="243">
        <f>'3. Staffing Plan'!Y51</f>
        <v>49685.644999999997</v>
      </c>
      <c r="K88" s="243">
        <f>'3. Staffing Plan'!AC51</f>
        <v>51176.199987008396</v>
      </c>
      <c r="L88" s="308"/>
      <c r="M88" s="240"/>
      <c r="N88" s="248"/>
    </row>
    <row r="89" spans="2:15" ht="15" customHeight="1" x14ac:dyDescent="0.25">
      <c r="B89" s="228"/>
      <c r="C89" s="404">
        <v>46</v>
      </c>
      <c r="D89" s="488" t="s">
        <v>408</v>
      </c>
      <c r="E89" s="489"/>
      <c r="F89" s="243">
        <f>'3. Staffing Plan'!H52</f>
        <v>0</v>
      </c>
      <c r="G89" s="243">
        <f>'3. Staffing Plan'!M52</f>
        <v>0</v>
      </c>
      <c r="H89" s="243">
        <f>'3. Staffing Plan'!Q52</f>
        <v>0</v>
      </c>
      <c r="I89" s="243">
        <f>'3. Staffing Plan'!U52</f>
        <v>0</v>
      </c>
      <c r="J89" s="243">
        <f>'3. Staffing Plan'!Y52</f>
        <v>0</v>
      </c>
      <c r="K89" s="243">
        <f>'3. Staffing Plan'!AC52</f>
        <v>0</v>
      </c>
      <c r="L89" s="308"/>
      <c r="M89" s="240"/>
      <c r="N89" s="248"/>
    </row>
    <row r="90" spans="2:15" ht="15" customHeight="1" x14ac:dyDescent="0.25">
      <c r="B90" s="228"/>
      <c r="C90" s="404">
        <v>47</v>
      </c>
      <c r="D90" s="488" t="s">
        <v>414</v>
      </c>
      <c r="E90" s="489"/>
      <c r="F90" s="243">
        <f>'3. Staffing Plan'!H56</f>
        <v>0</v>
      </c>
      <c r="G90" s="243">
        <f>'3. Staffing Plan'!M56</f>
        <v>0</v>
      </c>
      <c r="H90" s="243">
        <f>'3. Staffing Plan'!Q56</f>
        <v>0</v>
      </c>
      <c r="I90" s="243">
        <f>'3. Staffing Plan'!U56</f>
        <v>0</v>
      </c>
      <c r="J90" s="243">
        <f>'3. Staffing Plan'!Y56</f>
        <v>0</v>
      </c>
      <c r="K90" s="243">
        <f>'3. Staffing Plan'!AC56</f>
        <v>0</v>
      </c>
      <c r="L90" s="308"/>
      <c r="M90" s="240"/>
      <c r="N90" s="248"/>
    </row>
    <row r="91" spans="2:15" ht="15" customHeight="1" x14ac:dyDescent="0.25">
      <c r="B91" s="228"/>
      <c r="C91" s="404"/>
      <c r="D91" s="33"/>
      <c r="E91" s="6"/>
      <c r="F91" s="353"/>
      <c r="G91" s="250"/>
      <c r="H91" s="250"/>
      <c r="I91" s="250"/>
      <c r="J91" s="250"/>
      <c r="K91" s="239"/>
      <c r="L91" s="245"/>
      <c r="M91" s="240"/>
      <c r="N91" s="248"/>
    </row>
    <row r="92" spans="2:15" ht="15" customHeight="1" x14ac:dyDescent="0.25">
      <c r="B92" s="228"/>
      <c r="C92" s="404"/>
      <c r="D92" s="497" t="s">
        <v>35</v>
      </c>
      <c r="E92" s="498"/>
      <c r="F92" s="313">
        <f t="shared" ref="F92:K92" si="8">SUM(F87:F90)</f>
        <v>130948.49650000001</v>
      </c>
      <c r="G92" s="313">
        <f t="shared" si="8"/>
        <v>119051.26433984976</v>
      </c>
      <c r="H92" s="313">
        <f t="shared" si="8"/>
        <v>122622.80245274525</v>
      </c>
      <c r="I92" s="313">
        <f t="shared" si="8"/>
        <v>126301.48581230763</v>
      </c>
      <c r="J92" s="313">
        <f t="shared" si="8"/>
        <v>138240.47961737684</v>
      </c>
      <c r="K92" s="313">
        <f t="shared" si="8"/>
        <v>142387.67881060654</v>
      </c>
      <c r="L92" s="308"/>
      <c r="M92" s="240"/>
      <c r="N92" s="248"/>
    </row>
    <row r="93" spans="2:15" s="242" customFormat="1" ht="15" customHeight="1" x14ac:dyDescent="0.25">
      <c r="B93" s="228"/>
      <c r="C93" s="404"/>
      <c r="D93" s="35"/>
      <c r="E93" s="2"/>
      <c r="F93" s="352"/>
      <c r="G93" s="250"/>
      <c r="H93" s="250"/>
      <c r="I93" s="250"/>
      <c r="J93" s="250"/>
      <c r="K93" s="239"/>
      <c r="L93" s="245"/>
      <c r="M93" s="240"/>
      <c r="N93" s="248"/>
      <c r="O93" s="260"/>
    </row>
    <row r="94" spans="2:15" s="242" customFormat="1" ht="15" customHeight="1" x14ac:dyDescent="0.25">
      <c r="B94" s="228"/>
      <c r="C94" s="404"/>
      <c r="D94" s="497" t="s">
        <v>36</v>
      </c>
      <c r="E94" s="498"/>
      <c r="F94" s="313">
        <f t="shared" ref="F94:K94" si="9">F84+F92</f>
        <v>947789.49650000001</v>
      </c>
      <c r="G94" s="313">
        <f t="shared" si="9"/>
        <v>870347.25980634987</v>
      </c>
      <c r="H94" s="313">
        <f t="shared" si="9"/>
        <v>896457.6795832403</v>
      </c>
      <c r="I94" s="313">
        <f t="shared" si="9"/>
        <v>923351.41105671762</v>
      </c>
      <c r="J94" s="313">
        <f t="shared" si="9"/>
        <v>1010701.9044191191</v>
      </c>
      <c r="K94" s="313">
        <f t="shared" si="9"/>
        <v>1041022.938156401</v>
      </c>
      <c r="L94" s="308"/>
      <c r="M94" s="240"/>
      <c r="N94" s="248"/>
      <c r="O94" s="260"/>
    </row>
    <row r="95" spans="2:15" ht="15" customHeight="1" x14ac:dyDescent="0.25">
      <c r="B95" s="228"/>
      <c r="C95" s="404"/>
      <c r="D95" s="34"/>
      <c r="E95" s="258"/>
      <c r="F95" s="312" t="str">
        <f>IF((ROUND(F94,2)=ROUND('3. Staffing Plan'!H64,2)), "","ERROR")</f>
        <v/>
      </c>
      <c r="G95" s="312" t="str">
        <f>IF((ROUND(G94,2)=ROUND('3. Staffing Plan'!M64,2)), "","ERROR")</f>
        <v/>
      </c>
      <c r="H95" s="312" t="str">
        <f>IF((ROUND(H94,2)=ROUND('3. Staffing Plan'!Q64,2)), "","ERROR")</f>
        <v/>
      </c>
      <c r="I95" s="312" t="str">
        <f>IF((ROUND(I94,2)=ROUND('3. Staffing Plan'!U64,2)), "","ERROR")</f>
        <v/>
      </c>
      <c r="J95" s="312" t="str">
        <f>IF((ROUND(J94,2)=ROUND('3. Staffing Plan'!Y64,2)), "","ERROR")</f>
        <v/>
      </c>
      <c r="K95" s="312" t="str">
        <f>IF((ROUND(K94,2)=ROUND('3. Staffing Plan'!AC64,2)), "","ERROR")</f>
        <v/>
      </c>
      <c r="L95" s="436" t="str">
        <f>IF(COUNTIF(G95:K95,"ERROR"),"Tab 3 and Tab 5 Values do not match.","")</f>
        <v/>
      </c>
      <c r="M95" s="308"/>
      <c r="N95" s="244"/>
    </row>
    <row r="96" spans="2:15" ht="15" customHeight="1" x14ac:dyDescent="0.25">
      <c r="B96" s="228"/>
      <c r="C96" s="404"/>
      <c r="D96" s="501" t="s">
        <v>490</v>
      </c>
      <c r="E96" s="502"/>
      <c r="F96" s="255"/>
      <c r="G96" s="493"/>
      <c r="H96" s="494"/>
      <c r="I96" s="494"/>
      <c r="J96" s="494"/>
      <c r="K96" s="494"/>
      <c r="L96" s="266"/>
      <c r="M96" s="246"/>
      <c r="N96" s="257"/>
    </row>
    <row r="97" spans="2:15" ht="15" customHeight="1" x14ac:dyDescent="0.25">
      <c r="B97" s="228"/>
      <c r="C97" s="404">
        <v>48</v>
      </c>
      <c r="D97" s="488" t="s">
        <v>3</v>
      </c>
      <c r="E97" s="489"/>
      <c r="F97" s="438">
        <v>20428.805836254982</v>
      </c>
      <c r="G97" s="413">
        <v>22073.427881860556</v>
      </c>
      <c r="H97" s="413">
        <v>23796.853212636594</v>
      </c>
      <c r="I97" s="413">
        <v>25711.51745735974</v>
      </c>
      <c r="J97" s="413">
        <v>27717.914037984276</v>
      </c>
      <c r="K97" s="413">
        <v>38000</v>
      </c>
      <c r="L97" s="41"/>
      <c r="M97" s="240"/>
      <c r="N97" s="257"/>
    </row>
    <row r="98" spans="2:15" ht="15" customHeight="1" x14ac:dyDescent="0.25">
      <c r="B98" s="228"/>
      <c r="C98" s="404">
        <v>49</v>
      </c>
      <c r="D98" s="488" t="s">
        <v>491</v>
      </c>
      <c r="E98" s="489"/>
      <c r="F98" s="438">
        <v>0</v>
      </c>
      <c r="G98" s="413">
        <v>0</v>
      </c>
      <c r="H98" s="413">
        <v>0</v>
      </c>
      <c r="I98" s="413">
        <v>0</v>
      </c>
      <c r="J98" s="413">
        <v>0</v>
      </c>
      <c r="K98" s="413">
        <v>0</v>
      </c>
      <c r="L98" s="41"/>
      <c r="M98" s="240"/>
      <c r="N98" s="257"/>
    </row>
    <row r="99" spans="2:15" ht="15" customHeight="1" x14ac:dyDescent="0.25">
      <c r="B99" s="228"/>
      <c r="C99" s="404">
        <v>50</v>
      </c>
      <c r="D99" s="490" t="s">
        <v>492</v>
      </c>
      <c r="E99" s="491"/>
      <c r="F99" s="438">
        <v>48000</v>
      </c>
      <c r="G99" s="413">
        <v>15000</v>
      </c>
      <c r="H99" s="413">
        <v>10000</v>
      </c>
      <c r="I99" s="413">
        <v>16000</v>
      </c>
      <c r="J99" s="413">
        <v>35000</v>
      </c>
      <c r="K99" s="413">
        <v>35000</v>
      </c>
      <c r="L99" s="41" t="s">
        <v>2</v>
      </c>
      <c r="M99" s="240"/>
      <c r="N99" s="257"/>
    </row>
    <row r="100" spans="2:15" ht="15" customHeight="1" x14ac:dyDescent="0.25">
      <c r="B100" s="228"/>
      <c r="C100" s="404">
        <v>51</v>
      </c>
      <c r="D100" s="488" t="s">
        <v>37</v>
      </c>
      <c r="E100" s="489"/>
      <c r="F100" s="438">
        <v>0</v>
      </c>
      <c r="G100" s="413">
        <v>0</v>
      </c>
      <c r="H100" s="413">
        <v>0</v>
      </c>
      <c r="I100" s="413">
        <v>0</v>
      </c>
      <c r="J100" s="413">
        <v>0</v>
      </c>
      <c r="K100" s="413">
        <v>0</v>
      </c>
      <c r="L100" s="41"/>
      <c r="M100" s="240"/>
      <c r="N100" s="248"/>
    </row>
    <row r="101" spans="2:15" ht="15" customHeight="1" x14ac:dyDescent="0.25">
      <c r="B101" s="228"/>
      <c r="C101" s="404">
        <v>52</v>
      </c>
      <c r="D101" s="488" t="s">
        <v>38</v>
      </c>
      <c r="E101" s="489"/>
      <c r="F101" s="438">
        <v>0</v>
      </c>
      <c r="G101" s="413">
        <v>0</v>
      </c>
      <c r="H101" s="413">
        <v>0</v>
      </c>
      <c r="I101" s="413">
        <v>0</v>
      </c>
      <c r="J101" s="413">
        <v>0</v>
      </c>
      <c r="K101" s="413">
        <v>0</v>
      </c>
      <c r="L101" s="41"/>
      <c r="M101" s="240"/>
      <c r="N101" s="257"/>
    </row>
    <row r="102" spans="2:15" ht="15" customHeight="1" x14ac:dyDescent="0.25">
      <c r="B102" s="228"/>
      <c r="C102" s="404">
        <v>53</v>
      </c>
      <c r="D102" s="488" t="s">
        <v>8</v>
      </c>
      <c r="E102" s="489"/>
      <c r="F102" s="438">
        <v>0</v>
      </c>
      <c r="G102" s="413">
        <v>0</v>
      </c>
      <c r="H102" s="413">
        <v>0</v>
      </c>
      <c r="I102" s="413">
        <v>0</v>
      </c>
      <c r="J102" s="413">
        <v>0</v>
      </c>
      <c r="K102" s="413">
        <v>0</v>
      </c>
      <c r="L102" s="41"/>
      <c r="M102" s="240"/>
      <c r="N102" s="257"/>
    </row>
    <row r="103" spans="2:15" ht="15" customHeight="1" x14ac:dyDescent="0.25">
      <c r="B103" s="228"/>
      <c r="C103" s="404">
        <v>54</v>
      </c>
      <c r="D103" s="488" t="s">
        <v>493</v>
      </c>
      <c r="E103" s="489"/>
      <c r="F103" s="438">
        <v>1294</v>
      </c>
      <c r="G103" s="413">
        <v>1398.1643465405648</v>
      </c>
      <c r="H103" s="413">
        <v>1507.3287166743089</v>
      </c>
      <c r="I103" s="413">
        <v>1628.6064491993886</v>
      </c>
      <c r="J103" s="413">
        <v>1755.6946467853847</v>
      </c>
      <c r="K103" s="413">
        <v>1896.1502185282156</v>
      </c>
      <c r="L103" s="41"/>
      <c r="M103" s="240"/>
      <c r="N103" s="257"/>
    </row>
    <row r="104" spans="2:15" ht="15" customHeight="1" x14ac:dyDescent="0.25">
      <c r="B104" s="228"/>
      <c r="C104" s="404">
        <v>55</v>
      </c>
      <c r="D104" s="488" t="s">
        <v>494</v>
      </c>
      <c r="E104" s="489"/>
      <c r="F104" s="438">
        <v>2027</v>
      </c>
      <c r="G104" s="413">
        <v>2190</v>
      </c>
      <c r="H104" s="413">
        <v>2361</v>
      </c>
      <c r="I104" s="413">
        <v>2551</v>
      </c>
      <c r="J104" s="413">
        <v>2750</v>
      </c>
      <c r="K104" s="413">
        <v>2970</v>
      </c>
      <c r="L104" s="41"/>
      <c r="M104" s="240"/>
      <c r="N104" s="257"/>
    </row>
    <row r="105" spans="2:15" ht="15" customHeight="1" x14ac:dyDescent="0.25">
      <c r="B105" s="228"/>
      <c r="C105" s="404"/>
      <c r="D105" s="33"/>
      <c r="E105" s="6"/>
      <c r="F105" s="353"/>
      <c r="G105" s="250"/>
      <c r="H105" s="250"/>
      <c r="I105" s="250"/>
      <c r="J105" s="250"/>
      <c r="K105" s="239"/>
      <c r="L105" s="253"/>
      <c r="M105" s="240"/>
      <c r="N105" s="248"/>
    </row>
    <row r="106" spans="2:15" ht="15" customHeight="1" x14ac:dyDescent="0.25">
      <c r="B106" s="228"/>
      <c r="C106" s="404"/>
      <c r="D106" s="497" t="s">
        <v>39</v>
      </c>
      <c r="E106" s="498"/>
      <c r="F106" s="313">
        <f t="shared" ref="F106:K106" si="10">SUM(F97:F104)</f>
        <v>71749.805836254978</v>
      </c>
      <c r="G106" s="313">
        <f t="shared" si="10"/>
        <v>40661.592228401118</v>
      </c>
      <c r="H106" s="313">
        <f t="shared" si="10"/>
        <v>37665.1819293109</v>
      </c>
      <c r="I106" s="313">
        <f t="shared" si="10"/>
        <v>45891.123906559129</v>
      </c>
      <c r="J106" s="313">
        <f t="shared" si="10"/>
        <v>67223.608684769657</v>
      </c>
      <c r="K106" s="313">
        <f t="shared" si="10"/>
        <v>77866.150218528215</v>
      </c>
      <c r="L106" s="308"/>
      <c r="M106" s="240"/>
      <c r="N106" s="248"/>
    </row>
    <row r="107" spans="2:15" ht="15" customHeight="1" x14ac:dyDescent="0.25">
      <c r="B107" s="228"/>
      <c r="C107" s="404"/>
      <c r="D107" s="34"/>
      <c r="E107" s="258"/>
      <c r="F107" s="352"/>
      <c r="G107" s="6"/>
      <c r="H107" s="6"/>
      <c r="I107" s="6"/>
      <c r="J107" s="6"/>
      <c r="K107" s="252"/>
      <c r="L107" s="240"/>
      <c r="M107" s="240"/>
      <c r="N107" s="248"/>
      <c r="O107" s="267"/>
    </row>
    <row r="108" spans="2:15" ht="15" customHeight="1" x14ac:dyDescent="0.25">
      <c r="B108" s="228"/>
      <c r="C108" s="404"/>
      <c r="D108" s="501" t="s">
        <v>495</v>
      </c>
      <c r="E108" s="502"/>
      <c r="F108" s="255"/>
      <c r="G108" s="493"/>
      <c r="H108" s="494"/>
      <c r="I108" s="494"/>
      <c r="J108" s="494"/>
      <c r="K108" s="494"/>
      <c r="L108" s="266"/>
      <c r="M108" s="246"/>
      <c r="N108" s="248"/>
      <c r="O108" s="267"/>
    </row>
    <row r="109" spans="2:15" ht="15" customHeight="1" x14ac:dyDescent="0.25">
      <c r="B109" s="228"/>
      <c r="C109" s="404">
        <v>56</v>
      </c>
      <c r="D109" s="490" t="s">
        <v>496</v>
      </c>
      <c r="E109" s="491"/>
      <c r="F109" s="413">
        <v>0</v>
      </c>
      <c r="G109" s="413">
        <v>0</v>
      </c>
      <c r="H109" s="413">
        <v>0</v>
      </c>
      <c r="I109" s="413">
        <v>0</v>
      </c>
      <c r="J109" s="413">
        <v>0</v>
      </c>
      <c r="K109" s="413">
        <v>0</v>
      </c>
      <c r="L109" s="41"/>
      <c r="M109" s="240"/>
      <c r="N109" s="248"/>
    </row>
    <row r="110" spans="2:15" ht="15" customHeight="1" x14ac:dyDescent="0.25">
      <c r="B110" s="228"/>
      <c r="C110" s="404">
        <v>57</v>
      </c>
      <c r="D110" s="490" t="s">
        <v>497</v>
      </c>
      <c r="E110" s="491"/>
      <c r="F110" s="413">
        <v>45000</v>
      </c>
      <c r="G110" s="413">
        <v>52000</v>
      </c>
      <c r="H110" s="413">
        <v>77608</v>
      </c>
      <c r="I110" s="413">
        <v>83696</v>
      </c>
      <c r="J110" s="413">
        <v>52689</v>
      </c>
      <c r="K110" s="413">
        <v>67715</v>
      </c>
      <c r="L110" s="279"/>
      <c r="M110" s="268"/>
      <c r="N110" s="248"/>
    </row>
    <row r="111" spans="2:15" ht="15" customHeight="1" x14ac:dyDescent="0.25">
      <c r="B111" s="228"/>
      <c r="C111" s="404"/>
      <c r="D111" s="33"/>
      <c r="E111" s="6"/>
      <c r="F111" s="353"/>
      <c r="G111" s="250"/>
      <c r="H111" s="250"/>
      <c r="I111" s="250"/>
      <c r="J111" s="250"/>
      <c r="K111" s="239"/>
      <c r="L111" s="253"/>
      <c r="M111" s="240"/>
      <c r="N111" s="248"/>
    </row>
    <row r="112" spans="2:15" s="242" customFormat="1" ht="15" customHeight="1" x14ac:dyDescent="0.25">
      <c r="B112" s="228"/>
      <c r="C112" s="404"/>
      <c r="D112" s="497" t="s">
        <v>40</v>
      </c>
      <c r="E112" s="498"/>
      <c r="F112" s="313">
        <f t="shared" ref="F112:K112" si="11">SUM(F109:F110)</f>
        <v>45000</v>
      </c>
      <c r="G112" s="313">
        <f t="shared" si="11"/>
        <v>52000</v>
      </c>
      <c r="H112" s="313">
        <f t="shared" si="11"/>
        <v>77608</v>
      </c>
      <c r="I112" s="313">
        <f t="shared" si="11"/>
        <v>83696</v>
      </c>
      <c r="J112" s="313">
        <f t="shared" si="11"/>
        <v>52689</v>
      </c>
      <c r="K112" s="313">
        <f t="shared" si="11"/>
        <v>67715</v>
      </c>
      <c r="L112" s="308"/>
      <c r="M112" s="240"/>
      <c r="N112" s="248"/>
      <c r="O112" s="260"/>
    </row>
    <row r="113" spans="2:14" ht="15" customHeight="1" x14ac:dyDescent="0.25">
      <c r="B113" s="228"/>
      <c r="C113" s="404"/>
      <c r="D113" s="34"/>
      <c r="E113" s="258"/>
      <c r="F113" s="352"/>
      <c r="G113" s="6"/>
      <c r="H113" s="6"/>
      <c r="I113" s="6"/>
      <c r="J113" s="6"/>
      <c r="K113" s="252"/>
      <c r="L113" s="240"/>
      <c r="M113" s="240"/>
      <c r="N113" s="248"/>
    </row>
    <row r="114" spans="2:14" ht="15" customHeight="1" x14ac:dyDescent="0.25">
      <c r="B114" s="228"/>
      <c r="C114" s="404"/>
      <c r="D114" s="501" t="s">
        <v>41</v>
      </c>
      <c r="E114" s="502"/>
      <c r="F114" s="255"/>
      <c r="G114" s="255"/>
      <c r="H114" s="255"/>
      <c r="I114" s="255"/>
      <c r="J114" s="255"/>
      <c r="K114" s="256"/>
      <c r="L114" s="254" t="s">
        <v>2</v>
      </c>
      <c r="M114" s="240"/>
      <c r="N114" s="248"/>
    </row>
    <row r="115" spans="2:14" ht="15" customHeight="1" x14ac:dyDescent="0.25">
      <c r="B115" s="228"/>
      <c r="C115" s="404">
        <v>58</v>
      </c>
      <c r="D115" s="488" t="s">
        <v>4</v>
      </c>
      <c r="E115" s="489"/>
      <c r="F115" s="438">
        <v>0</v>
      </c>
      <c r="G115" s="413">
        <v>0</v>
      </c>
      <c r="H115" s="413">
        <v>0</v>
      </c>
      <c r="I115" s="413">
        <v>0</v>
      </c>
      <c r="J115" s="413">
        <v>0</v>
      </c>
      <c r="K115" s="413">
        <v>0</v>
      </c>
      <c r="L115" s="41" t="s">
        <v>2</v>
      </c>
      <c r="M115" s="240"/>
      <c r="N115" s="248"/>
    </row>
    <row r="116" spans="2:14" ht="15" customHeight="1" x14ac:dyDescent="0.25">
      <c r="B116" s="228"/>
      <c r="C116" s="404">
        <v>59</v>
      </c>
      <c r="D116" s="488" t="s">
        <v>498</v>
      </c>
      <c r="E116" s="489"/>
      <c r="F116" s="438">
        <v>0</v>
      </c>
      <c r="G116" s="413">
        <v>0</v>
      </c>
      <c r="H116" s="413">
        <v>0</v>
      </c>
      <c r="I116" s="413">
        <v>0</v>
      </c>
      <c r="J116" s="413">
        <v>0</v>
      </c>
      <c r="K116" s="413">
        <v>0</v>
      </c>
      <c r="L116" s="279"/>
      <c r="M116" s="240"/>
      <c r="N116" s="257"/>
    </row>
    <row r="117" spans="2:14" ht="15" customHeight="1" x14ac:dyDescent="0.25">
      <c r="B117" s="228"/>
      <c r="C117" s="404"/>
      <c r="D117" s="33"/>
      <c r="E117" s="6"/>
      <c r="F117" s="353"/>
      <c r="G117" s="250"/>
      <c r="H117" s="250"/>
      <c r="I117" s="250"/>
      <c r="J117" s="250"/>
      <c r="K117" s="239"/>
      <c r="L117" s="253"/>
      <c r="M117" s="240"/>
      <c r="N117" s="257"/>
    </row>
    <row r="118" spans="2:14" ht="15" customHeight="1" x14ac:dyDescent="0.25">
      <c r="B118" s="228"/>
      <c r="C118" s="404"/>
      <c r="D118" s="497" t="s">
        <v>42</v>
      </c>
      <c r="E118" s="498"/>
      <c r="F118" s="313">
        <f t="shared" ref="F118:K118" si="12">SUM(F115:F116)</f>
        <v>0</v>
      </c>
      <c r="G118" s="313">
        <f t="shared" si="12"/>
        <v>0</v>
      </c>
      <c r="H118" s="313">
        <f t="shared" si="12"/>
        <v>0</v>
      </c>
      <c r="I118" s="313">
        <f t="shared" si="12"/>
        <v>0</v>
      </c>
      <c r="J118" s="313">
        <f t="shared" si="12"/>
        <v>0</v>
      </c>
      <c r="K118" s="313">
        <f t="shared" si="12"/>
        <v>0</v>
      </c>
      <c r="L118" s="308"/>
      <c r="M118" s="240"/>
      <c r="N118" s="248"/>
    </row>
    <row r="119" spans="2:14" ht="15" customHeight="1" x14ac:dyDescent="0.25">
      <c r="B119" s="228"/>
      <c r="C119" s="404"/>
      <c r="D119" s="34"/>
      <c r="E119" s="258"/>
      <c r="F119" s="352"/>
      <c r="G119" s="6"/>
      <c r="H119" s="6"/>
      <c r="I119" s="6"/>
      <c r="J119" s="6"/>
      <c r="K119" s="252"/>
      <c r="L119" s="240"/>
      <c r="M119" s="240"/>
      <c r="N119" s="248"/>
    </row>
    <row r="120" spans="2:14" ht="15" customHeight="1" x14ac:dyDescent="0.25">
      <c r="B120" s="228"/>
      <c r="C120" s="404"/>
      <c r="D120" s="512" t="s">
        <v>499</v>
      </c>
      <c r="E120" s="513"/>
      <c r="F120" s="255"/>
      <c r="G120" s="434"/>
      <c r="H120" s="433"/>
      <c r="I120" s="433"/>
      <c r="J120" s="433"/>
      <c r="K120" s="433"/>
      <c r="L120" s="435"/>
      <c r="M120" s="269"/>
      <c r="N120" s="248"/>
    </row>
    <row r="121" spans="2:14" ht="15" customHeight="1" x14ac:dyDescent="0.25">
      <c r="B121" s="228"/>
      <c r="C121" s="404">
        <v>60</v>
      </c>
      <c r="D121" s="488" t="s">
        <v>43</v>
      </c>
      <c r="E121" s="489"/>
      <c r="F121" s="438">
        <v>0</v>
      </c>
      <c r="G121" s="413">
        <v>0</v>
      </c>
      <c r="H121" s="413">
        <v>0</v>
      </c>
      <c r="I121" s="413">
        <v>0</v>
      </c>
      <c r="J121" s="413">
        <v>0</v>
      </c>
      <c r="K121" s="413">
        <v>0</v>
      </c>
      <c r="L121" s="41"/>
      <c r="M121" s="240"/>
      <c r="N121" s="248"/>
    </row>
    <row r="122" spans="2:14" ht="15" customHeight="1" x14ac:dyDescent="0.25">
      <c r="B122" s="228"/>
      <c r="C122" s="404">
        <v>61</v>
      </c>
      <c r="D122" s="488" t="s">
        <v>5</v>
      </c>
      <c r="E122" s="489"/>
      <c r="F122" s="438">
        <v>572.37239043824695</v>
      </c>
      <c r="G122" s="413">
        <v>618.45125863817441</v>
      </c>
      <c r="H122" s="413">
        <v>666.73802998569352</v>
      </c>
      <c r="I122" s="413">
        <v>720.38291551757004</v>
      </c>
      <c r="J122" s="413">
        <v>776.59794914332974</v>
      </c>
      <c r="K122" s="413">
        <v>838.72578507479614</v>
      </c>
      <c r="L122" s="41"/>
      <c r="M122" s="240"/>
      <c r="N122" s="248"/>
    </row>
    <row r="123" spans="2:14" ht="15" customHeight="1" x14ac:dyDescent="0.25">
      <c r="B123" s="228"/>
      <c r="C123" s="404">
        <v>62</v>
      </c>
      <c r="D123" s="488" t="s">
        <v>44</v>
      </c>
      <c r="E123" s="489"/>
      <c r="F123" s="438">
        <v>25918.701573705181</v>
      </c>
      <c r="G123" s="413">
        <v>26696.262620916335</v>
      </c>
      <c r="H123" s="413">
        <v>27497.150499543826</v>
      </c>
      <c r="I123" s="413">
        <v>28322.065014530141</v>
      </c>
      <c r="J123" s="413">
        <v>29171.726964966045</v>
      </c>
      <c r="K123" s="413">
        <v>31505.465122163332</v>
      </c>
      <c r="L123" s="41"/>
      <c r="M123" s="240"/>
      <c r="N123" s="248"/>
    </row>
    <row r="124" spans="2:14" ht="15" customHeight="1" x14ac:dyDescent="0.25">
      <c r="B124" s="228"/>
      <c r="C124" s="404">
        <v>63</v>
      </c>
      <c r="D124" s="488" t="s">
        <v>45</v>
      </c>
      <c r="E124" s="489"/>
      <c r="F124" s="438">
        <v>0</v>
      </c>
      <c r="G124" s="413">
        <v>0</v>
      </c>
      <c r="H124" s="413">
        <v>0</v>
      </c>
      <c r="I124" s="413">
        <v>0</v>
      </c>
      <c r="J124" s="413">
        <v>0</v>
      </c>
      <c r="K124" s="413">
        <v>0</v>
      </c>
      <c r="L124" s="41"/>
      <c r="M124" s="240"/>
      <c r="N124" s="248"/>
    </row>
    <row r="125" spans="2:14" ht="15" customHeight="1" x14ac:dyDescent="0.25">
      <c r="B125" s="228"/>
      <c r="C125" s="404">
        <v>64</v>
      </c>
      <c r="D125" s="488" t="s">
        <v>500</v>
      </c>
      <c r="E125" s="489"/>
      <c r="F125" s="438">
        <v>16550</v>
      </c>
      <c r="G125" s="413">
        <v>17728.139785037667</v>
      </c>
      <c r="H125" s="413">
        <v>18960.75290671561</v>
      </c>
      <c r="I125" s="413">
        <v>20322.485892483463</v>
      </c>
      <c r="J125" s="413">
        <v>21747.71555780961</v>
      </c>
      <c r="K125" s="413">
        <v>23315.311045956372</v>
      </c>
      <c r="L125" s="41"/>
      <c r="M125" s="240"/>
      <c r="N125" s="248"/>
    </row>
    <row r="126" spans="2:14" ht="15" customHeight="1" x14ac:dyDescent="0.25">
      <c r="B126" s="228"/>
      <c r="C126" s="404">
        <v>65</v>
      </c>
      <c r="D126" s="488" t="s">
        <v>501</v>
      </c>
      <c r="E126" s="489"/>
      <c r="F126" s="438">
        <v>19617</v>
      </c>
      <c r="G126" s="413">
        <v>20597.456249999999</v>
      </c>
      <c r="H126" s="413">
        <v>21627.329062500001</v>
      </c>
      <c r="I126" s="413">
        <v>22708.695515625001</v>
      </c>
      <c r="J126" s="413">
        <v>23844.130291406251</v>
      </c>
      <c r="K126" s="413">
        <v>25036.336805976563</v>
      </c>
      <c r="L126" s="279"/>
      <c r="M126" s="240"/>
      <c r="N126" s="248"/>
    </row>
    <row r="127" spans="2:14" ht="15" customHeight="1" x14ac:dyDescent="0.25">
      <c r="B127" s="228"/>
      <c r="C127" s="404">
        <v>66</v>
      </c>
      <c r="D127" s="488" t="s">
        <v>6</v>
      </c>
      <c r="E127" s="489"/>
      <c r="F127" s="438">
        <v>6605.8311833333337</v>
      </c>
      <c r="G127" s="413">
        <v>6804.0061188333339</v>
      </c>
      <c r="H127" s="413">
        <v>7008.1263023983338</v>
      </c>
      <c r="I127" s="413">
        <v>7218.370091470284</v>
      </c>
      <c r="J127" s="413">
        <v>7434.9211942143929</v>
      </c>
      <c r="K127" s="413">
        <v>7657.9688300408252</v>
      </c>
      <c r="L127" s="41"/>
      <c r="M127" s="240"/>
      <c r="N127" s="248"/>
    </row>
    <row r="128" spans="2:14" ht="15" customHeight="1" x14ac:dyDescent="0.25">
      <c r="B128" s="228"/>
      <c r="C128" s="404">
        <v>67</v>
      </c>
      <c r="D128" s="488" t="s">
        <v>502</v>
      </c>
      <c r="E128" s="489"/>
      <c r="F128" s="438">
        <v>39</v>
      </c>
      <c r="G128" s="413">
        <v>40.579425000000001</v>
      </c>
      <c r="H128" s="413">
        <v>41.796807749999999</v>
      </c>
      <c r="I128" s="413">
        <v>43.050711982499998</v>
      </c>
      <c r="J128" s="413">
        <v>44.342233341974996</v>
      </c>
      <c r="K128" s="413">
        <v>45.672500342234244</v>
      </c>
      <c r="L128" s="41"/>
      <c r="M128" s="240"/>
      <c r="N128" s="248"/>
    </row>
    <row r="129" spans="2:15" ht="15" customHeight="1" x14ac:dyDescent="0.25">
      <c r="B129" s="228"/>
      <c r="C129" s="404">
        <v>68</v>
      </c>
      <c r="D129" s="488" t="s">
        <v>46</v>
      </c>
      <c r="E129" s="489"/>
      <c r="F129" s="438">
        <v>10319.77593824701</v>
      </c>
      <c r="G129" s="413">
        <v>11150.57002135639</v>
      </c>
      <c r="H129" s="413">
        <v>12021.172219177679</v>
      </c>
      <c r="I129" s="413">
        <v>12988.380295895004</v>
      </c>
      <c r="J129" s="413">
        <v>14001.927701517903</v>
      </c>
      <c r="K129" s="413">
        <v>15122.081917639336</v>
      </c>
      <c r="L129" s="41"/>
      <c r="M129" s="240"/>
      <c r="N129" s="248"/>
    </row>
    <row r="130" spans="2:15" ht="15" customHeight="1" x14ac:dyDescent="0.25">
      <c r="B130" s="228"/>
      <c r="C130" s="404">
        <v>69</v>
      </c>
      <c r="D130" s="488" t="s">
        <v>503</v>
      </c>
      <c r="E130" s="489"/>
      <c r="F130" s="438">
        <v>0</v>
      </c>
      <c r="G130" s="413">
        <v>0</v>
      </c>
      <c r="H130" s="413">
        <v>0</v>
      </c>
      <c r="I130" s="413">
        <v>0</v>
      </c>
      <c r="J130" s="413">
        <v>0</v>
      </c>
      <c r="K130" s="413">
        <v>0</v>
      </c>
      <c r="L130" s="41"/>
      <c r="M130" s="240"/>
      <c r="N130" s="248"/>
    </row>
    <row r="131" spans="2:15" ht="15" customHeight="1" x14ac:dyDescent="0.25">
      <c r="B131" s="228"/>
      <c r="C131" s="404">
        <v>70</v>
      </c>
      <c r="D131" s="488" t="s">
        <v>47</v>
      </c>
      <c r="E131" s="489"/>
      <c r="F131" s="438">
        <v>145894.5636364542</v>
      </c>
      <c r="G131" s="413">
        <v>155000</v>
      </c>
      <c r="H131" s="413">
        <v>158250</v>
      </c>
      <c r="I131" s="413">
        <v>160980</v>
      </c>
      <c r="J131" s="413">
        <v>164380</v>
      </c>
      <c r="K131" s="413">
        <v>167970</v>
      </c>
      <c r="L131" s="41"/>
      <c r="M131" s="240"/>
      <c r="N131" s="248"/>
    </row>
    <row r="132" spans="2:15" ht="15" customHeight="1" x14ac:dyDescent="0.25">
      <c r="B132" s="228"/>
      <c r="C132" s="404">
        <v>71</v>
      </c>
      <c r="D132" s="488" t="s">
        <v>504</v>
      </c>
      <c r="E132" s="489"/>
      <c r="F132" s="438">
        <v>50721</v>
      </c>
      <c r="G132" s="413">
        <v>54804.491819438903</v>
      </c>
      <c r="H132" s="413">
        <v>59083.457911495098</v>
      </c>
      <c r="I132" s="413">
        <v>63837.237048043833</v>
      </c>
      <c r="J132" s="413">
        <v>68818.771659609527</v>
      </c>
      <c r="K132" s="413">
        <v>74324.273392378294</v>
      </c>
      <c r="L132" s="279"/>
      <c r="M132" s="240"/>
      <c r="N132" s="248"/>
    </row>
    <row r="133" spans="2:15" ht="15" customHeight="1" x14ac:dyDescent="0.25">
      <c r="B133" s="228"/>
      <c r="C133" s="404">
        <v>72</v>
      </c>
      <c r="D133" s="488" t="s">
        <v>506</v>
      </c>
      <c r="E133" s="489"/>
      <c r="F133" s="438">
        <v>3500</v>
      </c>
      <c r="G133" s="413">
        <v>6698.0398905000002</v>
      </c>
      <c r="H133" s="413">
        <v>6898.9810872150001</v>
      </c>
      <c r="I133" s="413">
        <v>7105.95051983145</v>
      </c>
      <c r="J133" s="413">
        <v>7319.1290354263938</v>
      </c>
      <c r="K133" s="413">
        <v>7538.7029064891858</v>
      </c>
      <c r="L133" s="41"/>
      <c r="M133" s="240"/>
      <c r="N133" s="248"/>
    </row>
    <row r="134" spans="2:15" ht="15" customHeight="1" x14ac:dyDescent="0.25">
      <c r="B134" s="228"/>
      <c r="C134" s="404">
        <v>73</v>
      </c>
      <c r="D134" s="490" t="s">
        <v>505</v>
      </c>
      <c r="E134" s="491"/>
      <c r="F134" s="438">
        <f>2240+4954+5159+15634+3433.33+556</f>
        <v>31976.33</v>
      </c>
      <c r="G134" s="413">
        <f>24059+3536.33+572.89</f>
        <v>28168.22</v>
      </c>
      <c r="H134" s="413">
        <f>25765+3642.42+590.07</f>
        <v>29997.489999999998</v>
      </c>
      <c r="I134" s="413">
        <f>27643+3751.7+607.77</f>
        <v>32002.47</v>
      </c>
      <c r="J134" s="413">
        <f>29982+3864.25+626.01</f>
        <v>34472.26</v>
      </c>
      <c r="K134" s="413">
        <f>32178+3980.17+644.79</f>
        <v>36802.959999999999</v>
      </c>
      <c r="L134" s="279"/>
      <c r="M134" s="240"/>
      <c r="N134" s="248"/>
    </row>
    <row r="135" spans="2:15" ht="15" customHeight="1" x14ac:dyDescent="0.25">
      <c r="B135" s="228"/>
      <c r="C135" s="404"/>
      <c r="D135" s="33"/>
      <c r="E135" s="6"/>
      <c r="F135" s="353"/>
      <c r="G135" s="406"/>
      <c r="H135" s="406"/>
      <c r="I135" s="406"/>
      <c r="J135" s="406"/>
      <c r="K135" s="406"/>
      <c r="L135" s="253"/>
      <c r="M135" s="240"/>
      <c r="N135" s="248"/>
    </row>
    <row r="136" spans="2:15" ht="15" customHeight="1" x14ac:dyDescent="0.25">
      <c r="B136" s="228"/>
      <c r="C136" s="404"/>
      <c r="D136" s="497" t="s">
        <v>48</v>
      </c>
      <c r="E136" s="498"/>
      <c r="F136" s="313">
        <f t="shared" ref="F136:K136" si="13">SUM(F121:F134)</f>
        <v>311714.57472217799</v>
      </c>
      <c r="G136" s="313">
        <f t="shared" si="13"/>
        <v>328306.21718972083</v>
      </c>
      <c r="H136" s="313">
        <f t="shared" si="13"/>
        <v>342052.99482678127</v>
      </c>
      <c r="I136" s="313">
        <f t="shared" si="13"/>
        <v>356249.08800537919</v>
      </c>
      <c r="J136" s="313">
        <f t="shared" si="13"/>
        <v>372011.52258743544</v>
      </c>
      <c r="K136" s="313">
        <f t="shared" si="13"/>
        <v>390157.49830606097</v>
      </c>
      <c r="L136" s="437"/>
      <c r="M136" s="245"/>
      <c r="N136" s="248"/>
    </row>
    <row r="137" spans="2:15" ht="15" customHeight="1" x14ac:dyDescent="0.25">
      <c r="B137" s="228"/>
      <c r="C137" s="404"/>
      <c r="D137" s="34"/>
      <c r="E137" s="258"/>
      <c r="F137" s="352"/>
      <c r="G137" s="5"/>
      <c r="H137" s="5"/>
      <c r="I137" s="5"/>
      <c r="J137" s="5"/>
      <c r="K137" s="270"/>
      <c r="L137" s="245"/>
      <c r="M137" s="245"/>
      <c r="N137" s="231"/>
    </row>
    <row r="138" spans="2:15" ht="15" customHeight="1" x14ac:dyDescent="0.25">
      <c r="B138" s="228"/>
      <c r="C138" s="404"/>
      <c r="D138" s="512" t="s">
        <v>539</v>
      </c>
      <c r="E138" s="513"/>
      <c r="F138" s="255"/>
      <c r="G138" s="271"/>
      <c r="H138" s="272"/>
      <c r="I138" s="272"/>
      <c r="J138" s="272"/>
      <c r="K138" s="272"/>
      <c r="L138" s="435"/>
      <c r="M138" s="269"/>
      <c r="N138" s="231"/>
    </row>
    <row r="139" spans="2:15" ht="15" customHeight="1" x14ac:dyDescent="0.25">
      <c r="B139" s="228"/>
      <c r="C139" s="404">
        <v>74</v>
      </c>
      <c r="D139" s="490" t="s">
        <v>540</v>
      </c>
      <c r="E139" s="491"/>
      <c r="F139" s="438">
        <f>26456+79467+17164</f>
        <v>123087</v>
      </c>
      <c r="G139" s="413">
        <v>129241.05862500001</v>
      </c>
      <c r="H139" s="413">
        <v>135703.11155625002</v>
      </c>
      <c r="I139" s="413">
        <v>142488.26713406254</v>
      </c>
      <c r="J139" s="413">
        <v>146762.9151480844</v>
      </c>
      <c r="K139" s="413">
        <v>154101.06090548862</v>
      </c>
      <c r="L139" s="279"/>
      <c r="M139" s="240"/>
      <c r="N139" s="231"/>
    </row>
    <row r="140" spans="2:15" s="283" customFormat="1" ht="15" customHeight="1" x14ac:dyDescent="0.25">
      <c r="B140" s="409"/>
      <c r="C140" s="404">
        <v>75</v>
      </c>
      <c r="D140" s="490" t="s">
        <v>507</v>
      </c>
      <c r="E140" s="491"/>
      <c r="F140" s="438">
        <v>0</v>
      </c>
      <c r="G140" s="413">
        <v>0</v>
      </c>
      <c r="H140" s="413">
        <v>0</v>
      </c>
      <c r="I140" s="413">
        <v>0</v>
      </c>
      <c r="J140" s="413">
        <v>0</v>
      </c>
      <c r="K140" s="413">
        <v>0</v>
      </c>
      <c r="L140" s="41"/>
      <c r="M140" s="410"/>
      <c r="N140" s="411"/>
      <c r="O140" s="412"/>
    </row>
    <row r="141" spans="2:15" s="283" customFormat="1" ht="15" customHeight="1" x14ac:dyDescent="0.25">
      <c r="B141" s="409"/>
      <c r="C141" s="404">
        <v>76</v>
      </c>
      <c r="D141" s="490" t="s">
        <v>508</v>
      </c>
      <c r="E141" s="491"/>
      <c r="F141" s="438">
        <v>0</v>
      </c>
      <c r="G141" s="413">
        <v>0</v>
      </c>
      <c r="H141" s="413">
        <v>0</v>
      </c>
      <c r="I141" s="413">
        <v>0</v>
      </c>
      <c r="J141" s="413">
        <v>0</v>
      </c>
      <c r="K141" s="413">
        <v>0</v>
      </c>
      <c r="L141" s="279"/>
      <c r="M141" s="410"/>
      <c r="N141" s="411"/>
      <c r="O141" s="412"/>
    </row>
    <row r="142" spans="2:15" s="283" customFormat="1" ht="15" customHeight="1" x14ac:dyDescent="0.25">
      <c r="B142" s="409"/>
      <c r="C142" s="404">
        <v>77</v>
      </c>
      <c r="D142" s="407" t="s">
        <v>509</v>
      </c>
      <c r="E142" s="408"/>
      <c r="F142" s="438">
        <v>0</v>
      </c>
      <c r="G142" s="413">
        <v>0</v>
      </c>
      <c r="H142" s="413">
        <v>0</v>
      </c>
      <c r="I142" s="413">
        <v>0</v>
      </c>
      <c r="J142" s="413">
        <v>0</v>
      </c>
      <c r="K142" s="413">
        <v>0</v>
      </c>
      <c r="L142" s="41"/>
      <c r="M142" s="410"/>
      <c r="N142" s="411"/>
      <c r="O142" s="412"/>
    </row>
    <row r="143" spans="2:15" s="283" customFormat="1" ht="15" customHeight="1" x14ac:dyDescent="0.25">
      <c r="B143" s="409"/>
      <c r="C143" s="404">
        <v>78</v>
      </c>
      <c r="D143" s="407" t="s">
        <v>510</v>
      </c>
      <c r="E143" s="408"/>
      <c r="F143" s="438">
        <v>8843</v>
      </c>
      <c r="G143" s="413">
        <v>9196.347264</v>
      </c>
      <c r="H143" s="413">
        <v>9564.2011545599998</v>
      </c>
      <c r="I143" s="413">
        <v>9946.7692007423993</v>
      </c>
      <c r="J143" s="413">
        <v>10245.172276764672</v>
      </c>
      <c r="K143" s="413">
        <v>10757.430890602905</v>
      </c>
      <c r="L143" s="41"/>
      <c r="M143" s="410"/>
      <c r="N143" s="411"/>
      <c r="O143" s="412"/>
    </row>
    <row r="144" spans="2:15" s="283" customFormat="1" ht="15" customHeight="1" x14ac:dyDescent="0.25">
      <c r="B144" s="409"/>
      <c r="C144" s="404">
        <v>79</v>
      </c>
      <c r="D144" s="407" t="s">
        <v>511</v>
      </c>
      <c r="E144" s="408"/>
      <c r="F144" s="438">
        <v>0</v>
      </c>
      <c r="G144" s="413">
        <v>0</v>
      </c>
      <c r="H144" s="413">
        <v>0</v>
      </c>
      <c r="I144" s="413">
        <v>0</v>
      </c>
      <c r="J144" s="413">
        <v>0</v>
      </c>
      <c r="K144" s="413">
        <v>0</v>
      </c>
      <c r="L144" s="41"/>
      <c r="M144" s="410"/>
      <c r="N144" s="411"/>
      <c r="O144" s="412"/>
    </row>
    <row r="145" spans="2:15" s="283" customFormat="1" ht="15" customHeight="1" x14ac:dyDescent="0.25">
      <c r="B145" s="409"/>
      <c r="C145" s="404">
        <v>80</v>
      </c>
      <c r="D145" s="407" t="s">
        <v>541</v>
      </c>
      <c r="E145" s="408"/>
      <c r="F145" s="438">
        <f>40337.4675+93237</f>
        <v>133574.4675</v>
      </c>
      <c r="G145" s="413">
        <f>41547.591525+96034.47</f>
        <v>137582.061525</v>
      </c>
      <c r="H145" s="413">
        <f>45702.3506775+100836.25</f>
        <v>146538.60067750001</v>
      </c>
      <c r="I145" s="413">
        <f>47667.5517566325+105878.01</f>
        <v>153545.56175663249</v>
      </c>
      <c r="J145" s="413">
        <f>48144.2272741988+107995.57</f>
        <v>156139.79727419879</v>
      </c>
      <c r="K145" s="413">
        <f>50069.9963651668+113395.35</f>
        <v>163465.3463651668</v>
      </c>
      <c r="L145" s="41"/>
      <c r="M145" s="410"/>
      <c r="N145" s="411"/>
      <c r="O145" s="412"/>
    </row>
    <row r="146" spans="2:15" s="283" customFormat="1" ht="15" customHeight="1" x14ac:dyDescent="0.25">
      <c r="B146" s="409"/>
      <c r="C146" s="404">
        <v>81</v>
      </c>
      <c r="D146" s="407" t="s">
        <v>542</v>
      </c>
      <c r="E146" s="408"/>
      <c r="F146" s="438">
        <v>0</v>
      </c>
      <c r="G146" s="413">
        <v>0</v>
      </c>
      <c r="H146" s="413">
        <v>0</v>
      </c>
      <c r="I146" s="413">
        <v>0</v>
      </c>
      <c r="J146" s="413">
        <v>0</v>
      </c>
      <c r="K146" s="413">
        <v>0</v>
      </c>
      <c r="L146" s="41"/>
      <c r="M146" s="410"/>
      <c r="N146" s="411"/>
      <c r="O146" s="412"/>
    </row>
    <row r="147" spans="2:15" ht="15" customHeight="1" x14ac:dyDescent="0.25">
      <c r="B147" s="228"/>
      <c r="C147" s="404">
        <v>82</v>
      </c>
      <c r="D147" s="488" t="s">
        <v>536</v>
      </c>
      <c r="E147" s="489"/>
      <c r="F147" s="438">
        <v>13000</v>
      </c>
      <c r="G147" s="413">
        <v>16000</v>
      </c>
      <c r="H147" s="413">
        <v>25461</v>
      </c>
      <c r="I147" s="413">
        <v>46780</v>
      </c>
      <c r="J147" s="413">
        <v>50095.390322361563</v>
      </c>
      <c r="K147" s="413">
        <v>54103.021548150493</v>
      </c>
      <c r="L147" s="41"/>
      <c r="M147" s="245"/>
      <c r="N147" s="231"/>
    </row>
    <row r="148" spans="2:15" ht="15" customHeight="1" x14ac:dyDescent="0.25">
      <c r="B148" s="228"/>
      <c r="C148" s="404">
        <v>83</v>
      </c>
      <c r="D148" s="488" t="s">
        <v>543</v>
      </c>
      <c r="E148" s="489"/>
      <c r="F148" s="438">
        <v>66755</v>
      </c>
      <c r="G148" s="413">
        <v>68757.634498500003</v>
      </c>
      <c r="H148" s="413">
        <v>70820.363533455005</v>
      </c>
      <c r="I148" s="413">
        <v>72944.97443945866</v>
      </c>
      <c r="J148" s="413">
        <v>75133.323672642422</v>
      </c>
      <c r="K148" s="413">
        <v>77387.323382821691</v>
      </c>
      <c r="L148" s="41"/>
      <c r="M148" s="245"/>
      <c r="N148" s="231"/>
    </row>
    <row r="149" spans="2:15" ht="15" customHeight="1" x14ac:dyDescent="0.25">
      <c r="B149" s="228"/>
      <c r="C149" s="404">
        <v>84</v>
      </c>
      <c r="D149" s="488" t="s">
        <v>544</v>
      </c>
      <c r="E149" s="489"/>
      <c r="F149" s="438">
        <v>6972.2914500000006</v>
      </c>
      <c r="G149" s="413">
        <v>7181.460193500001</v>
      </c>
      <c r="H149" s="413">
        <v>7396.903999305001</v>
      </c>
      <c r="I149" s="413">
        <v>7618.8111192841516</v>
      </c>
      <c r="J149" s="413">
        <v>7847.375452862676</v>
      </c>
      <c r="K149" s="413">
        <v>8082.7967164485563</v>
      </c>
      <c r="L149" s="41"/>
      <c r="M149" s="245"/>
      <c r="N149" s="231"/>
    </row>
    <row r="150" spans="2:15" ht="15" customHeight="1" x14ac:dyDescent="0.25">
      <c r="B150" s="228"/>
      <c r="C150" s="404">
        <v>85</v>
      </c>
      <c r="D150" s="488" t="s">
        <v>548</v>
      </c>
      <c r="E150" s="489"/>
      <c r="F150" s="438">
        <v>13000</v>
      </c>
      <c r="G150" s="413">
        <v>18000</v>
      </c>
      <c r="H150" s="413">
        <v>42804.750062069994</v>
      </c>
      <c r="I150" s="413">
        <v>44088.892563932102</v>
      </c>
      <c r="J150" s="413">
        <v>45411.559340850064</v>
      </c>
      <c r="K150" s="413">
        <v>46773.906121075568</v>
      </c>
      <c r="L150" s="41"/>
      <c r="M150" s="245"/>
      <c r="N150" s="231"/>
    </row>
    <row r="151" spans="2:15" ht="15" customHeight="1" x14ac:dyDescent="0.25">
      <c r="B151" s="228"/>
      <c r="C151" s="404">
        <v>86</v>
      </c>
      <c r="D151" s="488" t="s">
        <v>547</v>
      </c>
      <c r="E151" s="489"/>
      <c r="F151" s="438">
        <v>417</v>
      </c>
      <c r="G151" s="413">
        <v>429.66450000000003</v>
      </c>
      <c r="H151" s="413">
        <v>442.55443500000007</v>
      </c>
      <c r="I151" s="413">
        <v>455.83106805000006</v>
      </c>
      <c r="J151" s="413">
        <v>469.50600009150008</v>
      </c>
      <c r="K151" s="413">
        <v>483.59118009424509</v>
      </c>
      <c r="L151" s="41"/>
      <c r="M151" s="245"/>
      <c r="N151" s="231"/>
    </row>
    <row r="152" spans="2:15" ht="15" customHeight="1" x14ac:dyDescent="0.25">
      <c r="B152" s="228"/>
      <c r="C152" s="404">
        <v>87</v>
      </c>
      <c r="D152" s="488" t="s">
        <v>545</v>
      </c>
      <c r="E152" s="489"/>
      <c r="F152" s="438">
        <v>3978.0814500000001</v>
      </c>
      <c r="G152" s="413">
        <v>4097.4238935000003</v>
      </c>
      <c r="H152" s="413">
        <v>4220.3466103050005</v>
      </c>
      <c r="I152" s="413">
        <v>4346.9570086141503</v>
      </c>
      <c r="J152" s="413">
        <v>4477.3657188725747</v>
      </c>
      <c r="K152" s="413">
        <v>4611.6866904387516</v>
      </c>
      <c r="L152" s="41"/>
      <c r="M152" s="245"/>
      <c r="N152" s="231"/>
    </row>
    <row r="153" spans="2:15" ht="15" customHeight="1" x14ac:dyDescent="0.25">
      <c r="B153" s="228"/>
      <c r="C153" s="404">
        <v>88</v>
      </c>
      <c r="D153" s="488" t="s">
        <v>546</v>
      </c>
      <c r="E153" s="489"/>
      <c r="F153" s="438">
        <v>0</v>
      </c>
      <c r="G153" s="413">
        <v>0</v>
      </c>
      <c r="H153" s="413">
        <v>0</v>
      </c>
      <c r="I153" s="413">
        <v>0</v>
      </c>
      <c r="J153" s="413">
        <v>0</v>
      </c>
      <c r="K153" s="413">
        <v>0</v>
      </c>
      <c r="L153" s="41"/>
      <c r="M153" s="245"/>
      <c r="N153" s="231"/>
    </row>
    <row r="154" spans="2:15" ht="15" customHeight="1" x14ac:dyDescent="0.25">
      <c r="B154" s="228"/>
      <c r="C154" s="404">
        <v>89</v>
      </c>
      <c r="D154" s="488" t="s">
        <v>512</v>
      </c>
      <c r="E154" s="489"/>
      <c r="F154" s="438">
        <v>0</v>
      </c>
      <c r="G154" s="413">
        <v>0</v>
      </c>
      <c r="H154" s="413">
        <v>0</v>
      </c>
      <c r="I154" s="413">
        <v>0</v>
      </c>
      <c r="J154" s="413">
        <v>0</v>
      </c>
      <c r="K154" s="413">
        <v>0</v>
      </c>
      <c r="L154" s="279"/>
      <c r="M154" s="240"/>
      <c r="N154" s="231"/>
    </row>
    <row r="155" spans="2:15" ht="15" customHeight="1" x14ac:dyDescent="0.25">
      <c r="B155" s="228"/>
      <c r="C155" s="404"/>
      <c r="D155" s="33"/>
      <c r="E155" s="6"/>
      <c r="F155" s="353"/>
      <c r="G155" s="250"/>
      <c r="H155" s="250"/>
      <c r="I155" s="250"/>
      <c r="J155" s="250"/>
      <c r="K155" s="239"/>
      <c r="L155" s="259"/>
      <c r="M155" s="245"/>
      <c r="N155" s="231"/>
    </row>
    <row r="156" spans="2:15" ht="15" customHeight="1" x14ac:dyDescent="0.25">
      <c r="B156" s="228"/>
      <c r="C156" s="404"/>
      <c r="D156" s="497" t="s">
        <v>49</v>
      </c>
      <c r="E156" s="498"/>
      <c r="F156" s="313">
        <f t="shared" ref="F156:K156" si="14">SUM(F139:F154)</f>
        <v>369626.84040000004</v>
      </c>
      <c r="G156" s="313">
        <f t="shared" si="14"/>
        <v>390485.65049949999</v>
      </c>
      <c r="H156" s="313">
        <f t="shared" si="14"/>
        <v>442951.83202844497</v>
      </c>
      <c r="I156" s="313">
        <f t="shared" si="14"/>
        <v>482216.06429077644</v>
      </c>
      <c r="J156" s="313">
        <f t="shared" si="14"/>
        <v>496582.40520672867</v>
      </c>
      <c r="K156" s="313">
        <f t="shared" si="14"/>
        <v>519766.16380028764</v>
      </c>
      <c r="L156" s="437"/>
      <c r="M156" s="245"/>
      <c r="N156" s="231"/>
    </row>
    <row r="157" spans="2:15" ht="15" customHeight="1" x14ac:dyDescent="0.25">
      <c r="B157" s="228"/>
      <c r="C157" s="404"/>
      <c r="D157" s="34"/>
      <c r="E157" s="258"/>
      <c r="F157" s="352"/>
      <c r="G157" s="6"/>
      <c r="H157" s="6"/>
      <c r="I157" s="6"/>
      <c r="J157" s="6"/>
      <c r="K157" s="252"/>
      <c r="L157" s="245"/>
      <c r="M157" s="245"/>
      <c r="N157" s="231"/>
    </row>
    <row r="158" spans="2:15" ht="15" customHeight="1" x14ac:dyDescent="0.25">
      <c r="B158" s="228"/>
      <c r="C158" s="404"/>
      <c r="D158" s="501" t="s">
        <v>92</v>
      </c>
      <c r="E158" s="502"/>
      <c r="F158" s="255"/>
      <c r="G158" s="255"/>
      <c r="H158" s="255"/>
      <c r="I158" s="255"/>
      <c r="J158" s="255"/>
      <c r="K158" s="256"/>
      <c r="L158" s="245"/>
      <c r="M158" s="245"/>
      <c r="N158" s="231"/>
    </row>
    <row r="159" spans="2:15" ht="15" customHeight="1" x14ac:dyDescent="0.25">
      <c r="B159" s="228"/>
      <c r="C159" s="404">
        <v>90</v>
      </c>
      <c r="D159" s="516" t="s">
        <v>513</v>
      </c>
      <c r="E159" s="489"/>
      <c r="F159" s="243">
        <f>'2. Enrollment Projections'!E45*0.05</f>
        <v>65387.965500000006</v>
      </c>
      <c r="G159" s="243">
        <f>'2. Enrollment Projections'!F46*0.005</f>
        <v>6525.5868600000003</v>
      </c>
      <c r="H159" s="243">
        <f>'2. Enrollment Projections'!G46*0.005</f>
        <v>6983.3026184999999</v>
      </c>
      <c r="I159" s="243">
        <f>'2. Enrollment Projections'!H46*0.005</f>
        <v>7335.6710992500002</v>
      </c>
      <c r="J159" s="243">
        <f>'2. Enrollment Projections'!I46*0.005</f>
        <v>7846.5558600000004</v>
      </c>
      <c r="K159" s="243">
        <f>'2. Enrollment Projections'!J46*0.005</f>
        <v>8238.8836530000008</v>
      </c>
      <c r="L159" s="309"/>
      <c r="M159" s="240"/>
      <c r="N159" s="231"/>
    </row>
    <row r="160" spans="2:15" ht="15" customHeight="1" x14ac:dyDescent="0.25">
      <c r="B160" s="228"/>
      <c r="C160" s="404">
        <v>91</v>
      </c>
      <c r="D160" s="514" t="s">
        <v>537</v>
      </c>
      <c r="E160" s="515"/>
      <c r="F160" s="438">
        <f>F51*0.12</f>
        <v>247486.3572</v>
      </c>
      <c r="G160" s="438">
        <f t="shared" ref="G160:K160" si="15">G51*0.12</f>
        <v>235232.02093960159</v>
      </c>
      <c r="H160" s="438">
        <f t="shared" si="15"/>
        <v>251664.51300415935</v>
      </c>
      <c r="I160" s="438">
        <f t="shared" si="15"/>
        <v>265251.93033382471</v>
      </c>
      <c r="J160" s="438">
        <f t="shared" si="15"/>
        <v>280653.14461338648</v>
      </c>
      <c r="K160" s="438">
        <f t="shared" si="15"/>
        <v>294573.37441765581</v>
      </c>
      <c r="L160" s="41"/>
      <c r="M160" s="240"/>
      <c r="N160" s="231"/>
    </row>
    <row r="161" spans="2:34" ht="15" customHeight="1" x14ac:dyDescent="0.25">
      <c r="B161" s="228"/>
      <c r="C161" s="404">
        <v>92</v>
      </c>
      <c r="D161" s="488" t="s">
        <v>50</v>
      </c>
      <c r="E161" s="489"/>
      <c r="F161" s="438">
        <v>1062.96</v>
      </c>
      <c r="G161" s="413">
        <v>1094.8488</v>
      </c>
      <c r="H161" s="413">
        <v>1127.694264</v>
      </c>
      <c r="I161" s="413">
        <v>1161.52509192</v>
      </c>
      <c r="J161" s="413">
        <v>1196.3708446776</v>
      </c>
      <c r="K161" s="413">
        <v>1232.261970017928</v>
      </c>
      <c r="L161" s="308"/>
      <c r="M161" s="240"/>
      <c r="N161" s="231"/>
    </row>
    <row r="162" spans="2:34" ht="15" customHeight="1" x14ac:dyDescent="0.25">
      <c r="B162" s="228"/>
      <c r="C162" s="404">
        <v>93</v>
      </c>
      <c r="D162" s="516" t="s">
        <v>514</v>
      </c>
      <c r="E162" s="517"/>
      <c r="F162" s="438">
        <v>0</v>
      </c>
      <c r="G162" s="413">
        <v>0</v>
      </c>
      <c r="H162" s="413">
        <v>0</v>
      </c>
      <c r="I162" s="413">
        <v>0</v>
      </c>
      <c r="J162" s="413">
        <v>0</v>
      </c>
      <c r="K162" s="413">
        <v>0</v>
      </c>
      <c r="L162" s="308"/>
      <c r="M162" s="240"/>
      <c r="N162" s="231"/>
    </row>
    <row r="163" spans="2:34" ht="15" customHeight="1" x14ac:dyDescent="0.25">
      <c r="B163" s="228"/>
      <c r="C163" s="404">
        <v>94</v>
      </c>
      <c r="D163" s="514" t="s">
        <v>515</v>
      </c>
      <c r="E163" s="515"/>
      <c r="F163" s="438"/>
      <c r="G163" s="438">
        <f>(G14*0.03)-G159</f>
        <v>32627.934299999997</v>
      </c>
      <c r="H163" s="438">
        <f t="shared" ref="H163:K163" si="16">(H14*0.03)-H159</f>
        <v>34916.513092499998</v>
      </c>
      <c r="I163" s="438">
        <f t="shared" si="16"/>
        <v>36678.355496249998</v>
      </c>
      <c r="J163" s="438">
        <f t="shared" si="16"/>
        <v>39232.779300000002</v>
      </c>
      <c r="K163" s="438">
        <f t="shared" si="16"/>
        <v>41194.418265</v>
      </c>
      <c r="L163" s="41" t="s">
        <v>550</v>
      </c>
      <c r="M163" s="240"/>
      <c r="N163" s="231"/>
    </row>
    <row r="164" spans="2:34" ht="15" customHeight="1" x14ac:dyDescent="0.25">
      <c r="B164" s="228"/>
      <c r="C164" s="23"/>
      <c r="D164" s="33"/>
      <c r="E164" s="6"/>
      <c r="F164" s="353"/>
      <c r="G164" s="250"/>
      <c r="H164" s="250"/>
      <c r="I164" s="250"/>
      <c r="J164" s="250"/>
      <c r="K164" s="239"/>
      <c r="L164" s="245"/>
      <c r="M164" s="245"/>
      <c r="N164" s="231"/>
    </row>
    <row r="165" spans="2:34" ht="15" customHeight="1" x14ac:dyDescent="0.25">
      <c r="B165" s="228"/>
      <c r="C165" s="23"/>
      <c r="D165" s="497" t="s">
        <v>51</v>
      </c>
      <c r="E165" s="498"/>
      <c r="F165" s="313">
        <f t="shared" ref="F165:K165" si="17">SUM(F159:F163)</f>
        <v>313937.28270000004</v>
      </c>
      <c r="G165" s="313">
        <f t="shared" si="17"/>
        <v>275480.39089960163</v>
      </c>
      <c r="H165" s="313">
        <f t="shared" si="17"/>
        <v>294692.02297915932</v>
      </c>
      <c r="I165" s="313">
        <f t="shared" si="17"/>
        <v>310427.48202124465</v>
      </c>
      <c r="J165" s="313">
        <f t="shared" si="17"/>
        <v>328928.85061806411</v>
      </c>
      <c r="K165" s="313">
        <f t="shared" si="17"/>
        <v>345238.93830567371</v>
      </c>
      <c r="L165" s="245"/>
      <c r="M165" s="245"/>
      <c r="N165" s="231"/>
      <c r="O165" s="342"/>
    </row>
    <row r="166" spans="2:34" ht="15" customHeight="1" x14ac:dyDescent="0.25">
      <c r="B166" s="228"/>
      <c r="C166" s="23"/>
      <c r="D166" s="506"/>
      <c r="E166" s="507"/>
      <c r="F166" s="352"/>
      <c r="G166" s="250"/>
      <c r="H166" s="250"/>
      <c r="I166" s="250"/>
      <c r="J166" s="250"/>
      <c r="K166" s="239"/>
      <c r="L166" s="245"/>
      <c r="M166" s="245"/>
      <c r="N166" s="231"/>
    </row>
    <row r="167" spans="2:34" ht="15" customHeight="1" x14ac:dyDescent="0.25">
      <c r="B167" s="228"/>
      <c r="C167" s="23"/>
      <c r="D167" s="497" t="s">
        <v>52</v>
      </c>
      <c r="E167" s="498"/>
      <c r="F167" s="251">
        <f t="shared" ref="F167:K167" si="18">F94+F106+F112+F118+F136+F156+F165</f>
        <v>2059818.0001584333</v>
      </c>
      <c r="G167" s="251">
        <f t="shared" si="18"/>
        <v>1957281.1106235732</v>
      </c>
      <c r="H167" s="251">
        <f t="shared" si="18"/>
        <v>2091427.7113469369</v>
      </c>
      <c r="I167" s="251">
        <f t="shared" si="18"/>
        <v>2201831.1692806771</v>
      </c>
      <c r="J167" s="251">
        <f t="shared" si="18"/>
        <v>2328137.2915161168</v>
      </c>
      <c r="K167" s="251">
        <f t="shared" si="18"/>
        <v>2441766.6887869514</v>
      </c>
      <c r="L167" s="245"/>
      <c r="M167" s="245"/>
      <c r="N167" s="231"/>
    </row>
    <row r="168" spans="2:34" ht="15" customHeight="1" x14ac:dyDescent="0.25">
      <c r="B168" s="228"/>
      <c r="C168" s="23"/>
      <c r="D168" s="506"/>
      <c r="E168" s="507"/>
      <c r="F168" s="352"/>
      <c r="G168" s="250"/>
      <c r="H168" s="250"/>
      <c r="I168" s="250"/>
      <c r="J168" s="250"/>
      <c r="K168" s="239"/>
      <c r="L168" s="245"/>
      <c r="M168" s="245"/>
      <c r="N168" s="231"/>
    </row>
    <row r="169" spans="2:34" ht="15" customHeight="1" x14ac:dyDescent="0.25">
      <c r="B169" s="228"/>
      <c r="C169" s="23"/>
      <c r="D169" s="497" t="s">
        <v>459</v>
      </c>
      <c r="E169" s="498"/>
      <c r="F169" s="313">
        <f t="shared" ref="F169:K169" si="19">F51-F167</f>
        <v>2568.3098415667191</v>
      </c>
      <c r="G169" s="313">
        <f t="shared" si="19"/>
        <v>2985.730539773358</v>
      </c>
      <c r="H169" s="313">
        <f t="shared" si="19"/>
        <v>5776.563687724527</v>
      </c>
      <c r="I169" s="313">
        <f t="shared" si="19"/>
        <v>8601.5835011955351</v>
      </c>
      <c r="J169" s="313">
        <f t="shared" si="19"/>
        <v>10638.913595437072</v>
      </c>
      <c r="K169" s="313">
        <f t="shared" si="19"/>
        <v>13011.43136018049</v>
      </c>
      <c r="L169" s="245"/>
      <c r="M169" s="245"/>
      <c r="N169" s="231"/>
    </row>
    <row r="170" spans="2:34" ht="15" customHeight="1" x14ac:dyDescent="0.25">
      <c r="B170" s="228"/>
      <c r="C170" s="23"/>
      <c r="D170" s="39"/>
      <c r="E170" s="273"/>
      <c r="F170" s="273"/>
      <c r="G170" s="274"/>
      <c r="H170" s="274"/>
      <c r="I170" s="274"/>
      <c r="J170" s="274"/>
      <c r="K170" s="274"/>
      <c r="L170" s="261"/>
      <c r="M170" s="245"/>
      <c r="N170" s="231"/>
    </row>
    <row r="171" spans="2:34" ht="15" customHeight="1" x14ac:dyDescent="0.25">
      <c r="B171" s="228"/>
      <c r="C171" s="24"/>
      <c r="D171" s="28"/>
      <c r="E171" s="273"/>
      <c r="F171" s="273"/>
      <c r="G171" s="274"/>
      <c r="H171" s="274"/>
      <c r="I171" s="274"/>
      <c r="J171" s="274"/>
      <c r="K171" s="274"/>
      <c r="L171" s="275"/>
      <c r="M171" s="261"/>
      <c r="N171" s="231"/>
    </row>
    <row r="172" spans="2:34" s="1" customFormat="1" ht="15" customHeight="1" x14ac:dyDescent="0.2">
      <c r="B172" s="37"/>
      <c r="C172" s="14"/>
      <c r="D172" s="3"/>
      <c r="E172" s="339"/>
      <c r="F172" s="352"/>
      <c r="G172" s="26"/>
      <c r="H172" s="26"/>
      <c r="I172" s="26"/>
      <c r="J172" s="26"/>
      <c r="K172" s="26"/>
      <c r="L172" s="26"/>
      <c r="M172" s="26"/>
      <c r="N172" s="29"/>
      <c r="O172" s="32"/>
      <c r="P172" s="38"/>
      <c r="Q172" s="38"/>
      <c r="R172" s="38"/>
      <c r="S172" s="38"/>
      <c r="T172" s="38"/>
      <c r="U172" s="38"/>
      <c r="V172" s="38"/>
      <c r="W172" s="38"/>
      <c r="X172" s="38"/>
      <c r="Y172" s="38"/>
      <c r="Z172" s="38"/>
      <c r="AA172" s="38"/>
      <c r="AB172" s="38"/>
      <c r="AC172" s="38"/>
      <c r="AD172" s="38"/>
      <c r="AE172" s="38"/>
      <c r="AF172" s="38"/>
      <c r="AG172" s="38"/>
      <c r="AH172" s="38"/>
    </row>
    <row r="173" spans="2:34" s="414" customFormat="1" ht="15" customHeight="1" x14ac:dyDescent="0.2">
      <c r="B173" s="415"/>
      <c r="C173" s="416"/>
      <c r="D173" s="417" t="s">
        <v>53</v>
      </c>
      <c r="E173" s="401"/>
      <c r="F173" s="401"/>
      <c r="G173" s="289"/>
      <c r="H173" s="289"/>
      <c r="I173" s="289"/>
      <c r="J173" s="289"/>
      <c r="K173" s="289"/>
      <c r="L173" s="289"/>
      <c r="M173" s="418"/>
      <c r="N173" s="419"/>
      <c r="O173" s="283"/>
      <c r="R173" s="518"/>
      <c r="S173" s="518"/>
    </row>
    <row r="174" spans="2:34" s="283" customFormat="1" ht="15.95" customHeight="1" x14ac:dyDescent="0.25">
      <c r="B174" s="409"/>
      <c r="C174" s="416"/>
      <c r="D174" s="492" t="s">
        <v>516</v>
      </c>
      <c r="E174" s="460"/>
      <c r="F174" s="460"/>
      <c r="G174" s="460"/>
      <c r="H174" s="460"/>
      <c r="I174" s="460"/>
      <c r="J174" s="460"/>
      <c r="K174" s="460"/>
      <c r="L174" s="460"/>
      <c r="M174" s="420"/>
      <c r="N174" s="411"/>
      <c r="O174" s="421"/>
      <c r="R174" s="422"/>
    </row>
    <row r="175" spans="2:34" s="283" customFormat="1" ht="27.75" customHeight="1" x14ac:dyDescent="0.25">
      <c r="B175" s="409"/>
      <c r="C175" s="416"/>
      <c r="D175" s="492" t="s">
        <v>517</v>
      </c>
      <c r="E175" s="460"/>
      <c r="F175" s="460"/>
      <c r="G175" s="460"/>
      <c r="H175" s="460"/>
      <c r="I175" s="460"/>
      <c r="J175" s="460"/>
      <c r="K175" s="460"/>
      <c r="L175" s="460"/>
      <c r="M175" s="420"/>
      <c r="N175" s="411"/>
      <c r="O175" s="421"/>
      <c r="R175" s="422"/>
    </row>
    <row r="176" spans="2:34" s="283" customFormat="1" ht="15.95" customHeight="1" x14ac:dyDescent="0.25">
      <c r="B176" s="409"/>
      <c r="C176" s="416"/>
      <c r="D176" s="423" t="s">
        <v>518</v>
      </c>
      <c r="E176" s="423"/>
      <c r="F176" s="423"/>
      <c r="G176" s="423"/>
      <c r="H176" s="423"/>
      <c r="I176" s="423"/>
      <c r="J176" s="423"/>
      <c r="K176" s="229"/>
      <c r="L176" s="420"/>
      <c r="M176" s="420"/>
      <c r="N176" s="411"/>
      <c r="O176" s="424"/>
      <c r="R176" s="422"/>
    </row>
    <row r="177" spans="2:15" s="283" customFormat="1" ht="30" customHeight="1" x14ac:dyDescent="0.25">
      <c r="B177" s="409"/>
      <c r="C177" s="416"/>
      <c r="D177" s="492" t="s">
        <v>519</v>
      </c>
      <c r="E177" s="460"/>
      <c r="F177" s="460"/>
      <c r="G177" s="460"/>
      <c r="H177" s="460"/>
      <c r="I177" s="460"/>
      <c r="J177" s="460"/>
      <c r="K177" s="460"/>
      <c r="L177" s="460"/>
      <c r="M177" s="420"/>
      <c r="N177" s="411"/>
      <c r="O177" s="412"/>
    </row>
    <row r="178" spans="2:15" s="283" customFormat="1" ht="15.95" customHeight="1" x14ac:dyDescent="0.25">
      <c r="B178" s="409"/>
      <c r="C178" s="416"/>
      <c r="D178" s="423" t="s">
        <v>520</v>
      </c>
      <c r="E178" s="423"/>
      <c r="F178" s="423"/>
      <c r="G178" s="423"/>
      <c r="H178" s="423"/>
      <c r="I178" s="423"/>
      <c r="J178" s="423"/>
      <c r="K178" s="229"/>
      <c r="L178" s="420"/>
      <c r="M178" s="420"/>
      <c r="N178" s="411"/>
      <c r="O178" s="412"/>
    </row>
    <row r="179" spans="2:15" s="283" customFormat="1" ht="15.95" customHeight="1" x14ac:dyDescent="0.25">
      <c r="B179" s="409"/>
      <c r="C179" s="425"/>
      <c r="D179" s="426" t="s">
        <v>521</v>
      </c>
      <c r="E179" s="423"/>
      <c r="F179" s="423"/>
      <c r="G179" s="423"/>
      <c r="H179" s="423"/>
      <c r="I179" s="423"/>
      <c r="J179" s="423"/>
      <c r="K179" s="229"/>
      <c r="L179" s="420"/>
      <c r="M179" s="420"/>
      <c r="N179" s="411"/>
      <c r="O179" s="412"/>
    </row>
    <row r="180" spans="2:15" s="283" customFormat="1" ht="15.95" customHeight="1" x14ac:dyDescent="0.25">
      <c r="B180" s="409"/>
      <c r="C180" s="416"/>
      <c r="D180" s="426" t="s">
        <v>522</v>
      </c>
      <c r="E180" s="423"/>
      <c r="F180" s="423"/>
      <c r="G180" s="423"/>
      <c r="H180" s="423"/>
      <c r="I180" s="423"/>
      <c r="J180" s="423"/>
      <c r="K180" s="229"/>
      <c r="L180" s="420"/>
      <c r="M180" s="420"/>
      <c r="N180" s="411"/>
      <c r="O180" s="412"/>
    </row>
    <row r="181" spans="2:15" s="283" customFormat="1" ht="26.25" customHeight="1" x14ac:dyDescent="0.25">
      <c r="B181" s="409"/>
      <c r="C181" s="416"/>
      <c r="D181" s="487" t="s">
        <v>538</v>
      </c>
      <c r="E181" s="460"/>
      <c r="F181" s="460"/>
      <c r="G181" s="460"/>
      <c r="H181" s="460"/>
      <c r="I181" s="460"/>
      <c r="J181" s="460"/>
      <c r="K181" s="460"/>
      <c r="L181" s="460"/>
      <c r="M181" s="460"/>
      <c r="N181" s="411"/>
      <c r="O181" s="412"/>
    </row>
    <row r="182" spans="2:15" s="283" customFormat="1" ht="15.95" customHeight="1" x14ac:dyDescent="0.25">
      <c r="B182" s="409"/>
      <c r="C182" s="416"/>
      <c r="D182" s="426" t="s">
        <v>523</v>
      </c>
      <c r="E182" s="423"/>
      <c r="F182" s="423"/>
      <c r="G182" s="423"/>
      <c r="H182" s="423"/>
      <c r="I182" s="423"/>
      <c r="J182" s="423"/>
      <c r="K182" s="229"/>
      <c r="L182" s="420"/>
      <c r="M182" s="420"/>
      <c r="N182" s="411"/>
      <c r="O182" s="412"/>
    </row>
    <row r="183" spans="2:15" s="283" customFormat="1" ht="15" customHeight="1" thickBot="1" x14ac:dyDescent="0.3">
      <c r="B183" s="427"/>
      <c r="C183" s="428"/>
      <c r="D183" s="429"/>
      <c r="E183" s="430"/>
      <c r="F183" s="430"/>
      <c r="G183" s="430"/>
      <c r="H183" s="430"/>
      <c r="I183" s="430"/>
      <c r="J183" s="430"/>
      <c r="K183" s="276"/>
      <c r="L183" s="431"/>
      <c r="M183" s="431"/>
      <c r="N183" s="432"/>
      <c r="O183" s="412"/>
    </row>
  </sheetData>
  <sheetProtection algorithmName="SHA-512" hashValue="dnSPMtRuN922m2AgJ9m53KAJJcopeMbPv0xD//n+xRufh37GfKUumeCQX2/jENcxR7UudgR99w2fCEqOb7Jjzg==" saltValue="v0Rv1u7iGssW5OgGaKAKmg==" spinCount="100000" sheet="1" objects="1" scenarios="1" selectLockedCells="1"/>
  <mergeCells count="147">
    <mergeCell ref="D109:E109"/>
    <mergeCell ref="F11:F12"/>
    <mergeCell ref="D125:E125"/>
    <mergeCell ref="D126:E126"/>
    <mergeCell ref="D127:E127"/>
    <mergeCell ref="D128:E128"/>
    <mergeCell ref="D120:E120"/>
    <mergeCell ref="D121:E121"/>
    <mergeCell ref="D122:E122"/>
    <mergeCell ref="D101:E101"/>
    <mergeCell ref="D102:E102"/>
    <mergeCell ref="D104:E104"/>
    <mergeCell ref="D106:E106"/>
    <mergeCell ref="D96:E96"/>
    <mergeCell ref="D97:E97"/>
    <mergeCell ref="D98:E98"/>
    <mergeCell ref="D99:E99"/>
    <mergeCell ref="D100:E100"/>
    <mergeCell ref="D69:E69"/>
    <mergeCell ref="D71:E71"/>
    <mergeCell ref="D77:E77"/>
    <mergeCell ref="D66:E66"/>
    <mergeCell ref="D67:E67"/>
    <mergeCell ref="D90:E90"/>
    <mergeCell ref="R173:S173"/>
    <mergeCell ref="D158:E158"/>
    <mergeCell ref="D159:E159"/>
    <mergeCell ref="D153:E153"/>
    <mergeCell ref="D154:E154"/>
    <mergeCell ref="D156:E156"/>
    <mergeCell ref="D2:L2"/>
    <mergeCell ref="D11:E12"/>
    <mergeCell ref="G11:G12"/>
    <mergeCell ref="H11:H12"/>
    <mergeCell ref="I11:I12"/>
    <mergeCell ref="J11:J12"/>
    <mergeCell ref="K11:K12"/>
    <mergeCell ref="L11:L12"/>
    <mergeCell ref="D124:E124"/>
    <mergeCell ref="D123:E123"/>
    <mergeCell ref="D8:L8"/>
    <mergeCell ref="D115:E115"/>
    <mergeCell ref="D116:E116"/>
    <mergeCell ref="D118:E118"/>
    <mergeCell ref="D110:E110"/>
    <mergeCell ref="D112:E112"/>
    <mergeCell ref="D114:E114"/>
    <mergeCell ref="D108:E108"/>
    <mergeCell ref="D152:E152"/>
    <mergeCell ref="D134:E134"/>
    <mergeCell ref="D136:E136"/>
    <mergeCell ref="D138:E138"/>
    <mergeCell ref="D139:E139"/>
    <mergeCell ref="D147:E147"/>
    <mergeCell ref="D174:L174"/>
    <mergeCell ref="D166:E166"/>
    <mergeCell ref="D167:E167"/>
    <mergeCell ref="D168:E168"/>
    <mergeCell ref="D169:E169"/>
    <mergeCell ref="D160:E160"/>
    <mergeCell ref="D161:E161"/>
    <mergeCell ref="D162:E162"/>
    <mergeCell ref="D163:E163"/>
    <mergeCell ref="D165:E165"/>
    <mergeCell ref="D129:E129"/>
    <mergeCell ref="D130:E130"/>
    <mergeCell ref="D131:E131"/>
    <mergeCell ref="D132:E132"/>
    <mergeCell ref="D133:E133"/>
    <mergeCell ref="D148:E148"/>
    <mergeCell ref="D149:E149"/>
    <mergeCell ref="D150:E150"/>
    <mergeCell ref="D151:E151"/>
    <mergeCell ref="D92:E92"/>
    <mergeCell ref="D94:E94"/>
    <mergeCell ref="D84:E84"/>
    <mergeCell ref="D86:E86"/>
    <mergeCell ref="D87:E87"/>
    <mergeCell ref="D88:E88"/>
    <mergeCell ref="D89:E89"/>
    <mergeCell ref="D79:E79"/>
    <mergeCell ref="D80:E80"/>
    <mergeCell ref="D82:E82"/>
    <mergeCell ref="D44:E44"/>
    <mergeCell ref="D45:E45"/>
    <mergeCell ref="D46:E46"/>
    <mergeCell ref="D61:E61"/>
    <mergeCell ref="D63:E63"/>
    <mergeCell ref="D64:E64"/>
    <mergeCell ref="D65:E65"/>
    <mergeCell ref="D78:E78"/>
    <mergeCell ref="D47:E47"/>
    <mergeCell ref="D55:E55"/>
    <mergeCell ref="D56:E56"/>
    <mergeCell ref="D57:E57"/>
    <mergeCell ref="D58:E58"/>
    <mergeCell ref="D59:E59"/>
    <mergeCell ref="D48:E48"/>
    <mergeCell ref="D49:E49"/>
    <mergeCell ref="D50:E50"/>
    <mergeCell ref="D51:E51"/>
    <mergeCell ref="D53:E54"/>
    <mergeCell ref="D72:E72"/>
    <mergeCell ref="D74:E74"/>
    <mergeCell ref="D75:E75"/>
    <mergeCell ref="D76:E76"/>
    <mergeCell ref="D13:E13"/>
    <mergeCell ref="D14:E14"/>
    <mergeCell ref="D15:E15"/>
    <mergeCell ref="D25:E25"/>
    <mergeCell ref="G30:K30"/>
    <mergeCell ref="D16:E16"/>
    <mergeCell ref="D17:E17"/>
    <mergeCell ref="D18:E18"/>
    <mergeCell ref="D21:E21"/>
    <mergeCell ref="D22:E22"/>
    <mergeCell ref="D23:E23"/>
    <mergeCell ref="D24:E24"/>
    <mergeCell ref="D26:E26"/>
    <mergeCell ref="D27:E27"/>
    <mergeCell ref="D28:E28"/>
    <mergeCell ref="D29:E29"/>
    <mergeCell ref="D30:E30"/>
    <mergeCell ref="D181:M181"/>
    <mergeCell ref="D19:E19"/>
    <mergeCell ref="D20:E20"/>
    <mergeCell ref="D73:E73"/>
    <mergeCell ref="D103:E103"/>
    <mergeCell ref="D140:E140"/>
    <mergeCell ref="D141:E141"/>
    <mergeCell ref="D175:L175"/>
    <mergeCell ref="D177:L177"/>
    <mergeCell ref="G96:K96"/>
    <mergeCell ref="G108:K108"/>
    <mergeCell ref="D31:E31"/>
    <mergeCell ref="D32:E32"/>
    <mergeCell ref="D33:E33"/>
    <mergeCell ref="D34:E34"/>
    <mergeCell ref="D35:E35"/>
    <mergeCell ref="D36:E36"/>
    <mergeCell ref="D37:E37"/>
    <mergeCell ref="D38:E38"/>
    <mergeCell ref="D39:E39"/>
    <mergeCell ref="D40:E40"/>
    <mergeCell ref="D41:E41"/>
    <mergeCell ref="D42:E42"/>
    <mergeCell ref="D43:E43"/>
  </mergeCells>
  <conditionalFormatting sqref="G85:K85">
    <cfRule type="cellIs" dxfId="59" priority="4" stopIfTrue="1" operator="equal">
      <formula>"ERROR"</formula>
    </cfRule>
    <cfRule type="cellIs" dxfId="58" priority="6" stopIfTrue="1" operator="equal">
      <formula>"ERROR"</formula>
    </cfRule>
  </conditionalFormatting>
  <conditionalFormatting sqref="G95:K95">
    <cfRule type="cellIs" dxfId="57" priority="5" stopIfTrue="1" operator="equal">
      <formula>"ERROR"</formula>
    </cfRule>
  </conditionalFormatting>
  <conditionalFormatting sqref="G169:K169">
    <cfRule type="cellIs" dxfId="56" priority="3" stopIfTrue="1" operator="lessThan">
      <formula>0</formula>
    </cfRule>
  </conditionalFormatting>
  <conditionalFormatting sqref="F95">
    <cfRule type="cellIs" dxfId="55" priority="2" stopIfTrue="1" operator="equal">
      <formula>"ERROR"</formula>
    </cfRule>
  </conditionalFormatting>
  <conditionalFormatting sqref="F169">
    <cfRule type="cellIs" dxfId="54" priority="1" stopIfTrue="1" operator="lessThan">
      <formula>0</formula>
    </cfRule>
  </conditionalFormatting>
  <pageMargins left="0.7" right="0.7" top="0.75" bottom="0.75" header="0.3" footer="0.3"/>
  <pageSetup scale="31"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B2:N307"/>
  <sheetViews>
    <sheetView workbookViewId="0">
      <selection activeCell="L37" sqref="L37"/>
    </sheetView>
  </sheetViews>
  <sheetFormatPr defaultColWidth="9.140625" defaultRowHeight="12.75" x14ac:dyDescent="0.25"/>
  <cols>
    <col min="1" max="2" width="9.140625" style="283"/>
    <col min="3" max="3" width="33" style="283" customWidth="1"/>
    <col min="4" max="4" width="15.85546875" style="283" customWidth="1"/>
    <col min="5" max="5" width="16.28515625" style="283" customWidth="1"/>
    <col min="6" max="6" width="16" style="283" customWidth="1"/>
    <col min="7" max="7" width="17.140625" style="283" customWidth="1"/>
    <col min="8" max="8" width="4.42578125" style="283" customWidth="1"/>
    <col min="9" max="9" width="19.140625" style="283" customWidth="1"/>
    <col min="10" max="10" width="10.42578125" style="283" customWidth="1"/>
    <col min="11" max="11" width="10.140625" style="283" customWidth="1"/>
    <col min="12" max="13" width="9.140625" style="283"/>
    <col min="14" max="14" width="12" style="283" bestFit="1" customWidth="1"/>
    <col min="15" max="16384" width="9.140625" style="283"/>
  </cols>
  <sheetData>
    <row r="2" spans="2:10" x14ac:dyDescent="0.2">
      <c r="B2" s="286" t="s">
        <v>98</v>
      </c>
      <c r="C2" s="287" t="s">
        <v>99</v>
      </c>
      <c r="D2" s="288"/>
      <c r="E2" s="288"/>
      <c r="F2" s="288"/>
      <c r="G2" s="289"/>
      <c r="H2" s="289"/>
      <c r="I2" s="289"/>
      <c r="J2" s="290"/>
    </row>
    <row r="3" spans="2:10" x14ac:dyDescent="0.2">
      <c r="B3" s="291"/>
      <c r="C3" s="292" t="s">
        <v>100</v>
      </c>
      <c r="D3" s="293"/>
      <c r="E3" s="293"/>
      <c r="F3" s="293"/>
      <c r="G3" s="294"/>
      <c r="H3" s="294"/>
      <c r="I3" s="294"/>
      <c r="J3" s="295"/>
    </row>
    <row r="4" spans="2:10" x14ac:dyDescent="0.2">
      <c r="B4" s="291"/>
      <c r="C4" s="292" t="s">
        <v>101</v>
      </c>
      <c r="D4" s="293"/>
      <c r="E4" s="293"/>
      <c r="F4" s="293"/>
      <c r="G4" s="294"/>
      <c r="H4" s="294"/>
      <c r="I4" s="294"/>
      <c r="J4" s="295"/>
    </row>
    <row r="5" spans="2:10" x14ac:dyDescent="0.2">
      <c r="B5" s="291"/>
      <c r="C5" s="292" t="s">
        <v>102</v>
      </c>
      <c r="D5" s="293"/>
      <c r="E5" s="293"/>
      <c r="F5" s="293"/>
      <c r="G5" s="294"/>
      <c r="H5" s="294"/>
      <c r="I5" s="294"/>
      <c r="J5" s="295"/>
    </row>
    <row r="6" spans="2:10" x14ac:dyDescent="0.2">
      <c r="B6" s="291"/>
      <c r="C6" s="292" t="s">
        <v>103</v>
      </c>
      <c r="D6" s="293"/>
      <c r="E6" s="293"/>
      <c r="F6" s="293"/>
      <c r="G6" s="294"/>
      <c r="H6" s="294"/>
      <c r="I6" s="294"/>
      <c r="J6" s="295"/>
    </row>
    <row r="7" spans="2:10" x14ac:dyDescent="0.2">
      <c r="B7" s="291"/>
      <c r="C7" s="292" t="s">
        <v>524</v>
      </c>
      <c r="D7" s="293"/>
      <c r="E7" s="293"/>
      <c r="F7" s="293"/>
      <c r="G7" s="294"/>
      <c r="H7" s="294"/>
      <c r="I7" s="294"/>
      <c r="J7" s="295"/>
    </row>
    <row r="8" spans="2:10" x14ac:dyDescent="0.2">
      <c r="B8" s="291"/>
      <c r="C8" s="292" t="s">
        <v>104</v>
      </c>
      <c r="D8" s="293"/>
      <c r="E8" s="293"/>
      <c r="F8" s="293"/>
      <c r="G8" s="294"/>
      <c r="H8" s="294"/>
      <c r="I8" s="294"/>
      <c r="J8" s="295"/>
    </row>
    <row r="9" spans="2:10" x14ac:dyDescent="0.2">
      <c r="B9" s="296"/>
      <c r="C9" s="297" t="s">
        <v>105</v>
      </c>
      <c r="D9" s="298"/>
      <c r="E9" s="298"/>
      <c r="F9" s="298"/>
      <c r="G9" s="299"/>
      <c r="H9" s="299"/>
      <c r="I9" s="299"/>
      <c r="J9" s="300"/>
    </row>
    <row r="11" spans="2:10" ht="23.25" customHeight="1" x14ac:dyDescent="0.25">
      <c r="B11" s="531" t="s">
        <v>425</v>
      </c>
      <c r="C11" s="532"/>
      <c r="D11" s="532"/>
      <c r="E11" s="532"/>
      <c r="F11" s="532"/>
      <c r="G11" s="532"/>
      <c r="H11" s="532"/>
      <c r="I11" s="532"/>
      <c r="J11" s="532"/>
    </row>
    <row r="12" spans="2:10" ht="43.5" customHeight="1" x14ac:dyDescent="0.25">
      <c r="B12" s="471"/>
      <c r="C12" s="471"/>
      <c r="D12" s="471"/>
      <c r="E12" s="471"/>
      <c r="F12" s="471"/>
      <c r="G12" s="471"/>
      <c r="H12" s="471"/>
      <c r="I12" s="471"/>
      <c r="J12" s="471"/>
    </row>
    <row r="13" spans="2:10" ht="23.25" customHeight="1" x14ac:dyDescent="0.25">
      <c r="B13" s="533" t="s">
        <v>426</v>
      </c>
      <c r="C13" s="533"/>
      <c r="D13" s="533"/>
      <c r="E13" s="533"/>
      <c r="F13" s="533"/>
      <c r="G13" s="533"/>
      <c r="H13" s="533"/>
      <c r="I13" s="533"/>
      <c r="J13" s="533"/>
    </row>
    <row r="14" spans="2:10" ht="23.25" customHeight="1" x14ac:dyDescent="0.25">
      <c r="B14" s="314"/>
      <c r="C14" s="315"/>
      <c r="D14" s="315"/>
      <c r="E14" s="315"/>
      <c r="F14" s="315"/>
      <c r="G14" s="315"/>
      <c r="H14" s="315"/>
      <c r="I14" s="315"/>
      <c r="J14" s="315"/>
    </row>
    <row r="15" spans="2:10" x14ac:dyDescent="0.25">
      <c r="C15" s="529" t="s">
        <v>97</v>
      </c>
      <c r="D15" s="530"/>
      <c r="E15" s="316"/>
      <c r="F15" s="316"/>
      <c r="H15" s="529"/>
      <c r="I15" s="529"/>
      <c r="J15" s="529"/>
    </row>
    <row r="16" spans="2:10" x14ac:dyDescent="0.25">
      <c r="D16" s="281"/>
      <c r="E16" s="316"/>
      <c r="F16" s="316"/>
      <c r="H16" s="328"/>
      <c r="I16" s="328"/>
      <c r="J16" s="328"/>
    </row>
    <row r="17" spans="2:14" s="323" customFormat="1" x14ac:dyDescent="0.25">
      <c r="B17" s="332"/>
      <c r="C17" s="333" t="s">
        <v>96</v>
      </c>
      <c r="D17" s="301" t="s">
        <v>397</v>
      </c>
      <c r="E17" s="318" t="s">
        <v>401</v>
      </c>
      <c r="F17" s="318" t="s">
        <v>398</v>
      </c>
      <c r="G17" s="323" t="s">
        <v>402</v>
      </c>
      <c r="H17" s="334"/>
      <c r="I17" s="335"/>
      <c r="J17" s="329"/>
    </row>
    <row r="18" spans="2:14" x14ac:dyDescent="0.25">
      <c r="B18" s="284"/>
      <c r="C18" s="285" t="s">
        <v>106</v>
      </c>
      <c r="D18" s="282"/>
      <c r="E18" s="320"/>
      <c r="F18" s="322"/>
      <c r="G18" s="321"/>
      <c r="H18" s="328"/>
      <c r="I18" s="343" t="s">
        <v>427</v>
      </c>
      <c r="J18" s="302" t="s">
        <v>395</v>
      </c>
      <c r="K18" s="303" t="s">
        <v>396</v>
      </c>
    </row>
    <row r="19" spans="2:14" x14ac:dyDescent="0.25">
      <c r="C19" s="324" t="s">
        <v>107</v>
      </c>
      <c r="D19" s="327">
        <v>6.6100000000000006E-2</v>
      </c>
      <c r="E19" s="319">
        <f t="shared" ref="E19:E50" si="0">(D19*$J$20)+$J$19</f>
        <v>5789.2650000000003</v>
      </c>
      <c r="F19" s="327">
        <v>6.6100000000000006E-2</v>
      </c>
      <c r="G19" s="319">
        <f>(F19*$K$20)+$K$19</f>
        <v>5945.9174999999996</v>
      </c>
      <c r="I19" s="344" t="s">
        <v>428</v>
      </c>
      <c r="J19" s="345">
        <v>5548</v>
      </c>
      <c r="K19" s="346">
        <v>5703</v>
      </c>
    </row>
    <row r="20" spans="2:14" x14ac:dyDescent="0.25">
      <c r="C20" s="324" t="s">
        <v>108</v>
      </c>
      <c r="D20" s="327">
        <v>0.20180000000000001</v>
      </c>
      <c r="E20" s="319">
        <f t="shared" si="0"/>
        <v>6284.57</v>
      </c>
      <c r="F20" s="327">
        <v>0.19689999999999999</v>
      </c>
      <c r="G20" s="319">
        <f t="shared" ref="G20:G83" si="1">(F20*$K$20)+$K$19</f>
        <v>6426.6075000000001</v>
      </c>
      <c r="I20" s="347" t="s">
        <v>429</v>
      </c>
      <c r="J20" s="330">
        <v>3650</v>
      </c>
      <c r="K20" s="331">
        <v>3675</v>
      </c>
    </row>
    <row r="21" spans="2:14" x14ac:dyDescent="0.25">
      <c r="C21" s="324" t="s">
        <v>109</v>
      </c>
      <c r="D21" s="327">
        <v>0.41899999999999998</v>
      </c>
      <c r="E21" s="319">
        <f t="shared" si="0"/>
        <v>7077.35</v>
      </c>
      <c r="F21" s="327">
        <v>0.39400000000000002</v>
      </c>
      <c r="G21" s="319">
        <f t="shared" si="1"/>
        <v>7150.95</v>
      </c>
      <c r="I21" s="347" t="s">
        <v>430</v>
      </c>
      <c r="J21" s="330">
        <v>128</v>
      </c>
      <c r="K21" s="331">
        <v>128</v>
      </c>
      <c r="L21" s="283" t="s">
        <v>431</v>
      </c>
    </row>
    <row r="22" spans="2:14" x14ac:dyDescent="0.25">
      <c r="C22" s="324" t="s">
        <v>110</v>
      </c>
      <c r="D22" s="327">
        <v>0.11840000000000001</v>
      </c>
      <c r="E22" s="319">
        <f t="shared" si="0"/>
        <v>5980.16</v>
      </c>
      <c r="F22" s="327">
        <v>0.11840000000000001</v>
      </c>
      <c r="G22" s="319">
        <f t="shared" si="1"/>
        <v>6138.12</v>
      </c>
      <c r="I22" s="347" t="s">
        <v>432</v>
      </c>
      <c r="J22" s="330">
        <v>2300</v>
      </c>
      <c r="K22" s="331">
        <v>2300</v>
      </c>
      <c r="L22" s="283" t="s">
        <v>433</v>
      </c>
    </row>
    <row r="23" spans="2:14" x14ac:dyDescent="0.25">
      <c r="C23" s="324" t="s">
        <v>111</v>
      </c>
      <c r="D23" s="327">
        <v>0.1792</v>
      </c>
      <c r="E23" s="319">
        <f t="shared" si="0"/>
        <v>6202.08</v>
      </c>
      <c r="F23" s="327">
        <v>0.1792</v>
      </c>
      <c r="G23" s="319">
        <f t="shared" si="1"/>
        <v>6361.5599999999995</v>
      </c>
      <c r="I23" s="348" t="s">
        <v>95</v>
      </c>
      <c r="J23" s="349">
        <v>6750</v>
      </c>
      <c r="K23" s="350">
        <v>6750</v>
      </c>
    </row>
    <row r="24" spans="2:14" x14ac:dyDescent="0.25">
      <c r="C24" s="324" t="s">
        <v>112</v>
      </c>
      <c r="D24" s="327">
        <v>6.3700000000000007E-2</v>
      </c>
      <c r="E24" s="319">
        <f t="shared" si="0"/>
        <v>5780.5050000000001</v>
      </c>
      <c r="F24" s="327">
        <v>6.3700000000000007E-2</v>
      </c>
      <c r="G24" s="319">
        <f t="shared" si="1"/>
        <v>5937.0974999999999</v>
      </c>
      <c r="H24" s="304"/>
    </row>
    <row r="25" spans="2:14" x14ac:dyDescent="0.25">
      <c r="C25" s="324" t="s">
        <v>113</v>
      </c>
      <c r="D25" s="327">
        <v>5.7799999999999997E-2</v>
      </c>
      <c r="E25" s="319">
        <f t="shared" si="0"/>
        <v>5758.97</v>
      </c>
      <c r="F25" s="327">
        <v>5.7799999999999997E-2</v>
      </c>
      <c r="G25" s="319">
        <f t="shared" si="1"/>
        <v>5915.415</v>
      </c>
      <c r="I25" s="283" t="s">
        <v>434</v>
      </c>
      <c r="N25" s="317"/>
    </row>
    <row r="26" spans="2:14" x14ac:dyDescent="0.25">
      <c r="C26" s="324" t="s">
        <v>114</v>
      </c>
      <c r="D26" s="327">
        <v>0.13389999999999999</v>
      </c>
      <c r="E26" s="319">
        <f t="shared" si="0"/>
        <v>6036.7349999999997</v>
      </c>
      <c r="F26" s="327">
        <v>0.13389999999999999</v>
      </c>
      <c r="G26" s="319">
        <f t="shared" si="1"/>
        <v>6195.0825000000004</v>
      </c>
      <c r="N26" s="317"/>
    </row>
    <row r="27" spans="2:14" x14ac:dyDescent="0.25">
      <c r="C27" s="324" t="s">
        <v>115</v>
      </c>
      <c r="D27" s="327">
        <v>7.8200000000000006E-2</v>
      </c>
      <c r="E27" s="319">
        <f t="shared" si="0"/>
        <v>5833.43</v>
      </c>
      <c r="F27" s="327">
        <v>7.8200000000000006E-2</v>
      </c>
      <c r="G27" s="319">
        <f t="shared" si="1"/>
        <v>5990.3850000000002</v>
      </c>
    </row>
    <row r="28" spans="2:14" x14ac:dyDescent="0.25">
      <c r="C28" s="324" t="s">
        <v>116</v>
      </c>
      <c r="D28" s="327">
        <v>9.74E-2</v>
      </c>
      <c r="E28" s="319">
        <f t="shared" si="0"/>
        <v>5903.51</v>
      </c>
      <c r="F28" s="327">
        <v>9.74E-2</v>
      </c>
      <c r="G28" s="319">
        <f t="shared" si="1"/>
        <v>6060.9449999999997</v>
      </c>
    </row>
    <row r="29" spans="2:14" x14ac:dyDescent="0.25">
      <c r="C29" s="324" t="s">
        <v>117</v>
      </c>
      <c r="D29" s="327">
        <v>0.29099999999999998</v>
      </c>
      <c r="E29" s="319">
        <f t="shared" si="0"/>
        <v>6610.15</v>
      </c>
      <c r="F29" s="327">
        <v>0.29099999999999998</v>
      </c>
      <c r="G29" s="319">
        <f t="shared" si="1"/>
        <v>6772.4250000000002</v>
      </c>
    </row>
    <row r="30" spans="2:14" x14ac:dyDescent="0.25">
      <c r="C30" s="324" t="s">
        <v>118</v>
      </c>
      <c r="D30" s="327">
        <v>0.17599999999999999</v>
      </c>
      <c r="E30" s="319">
        <f t="shared" si="0"/>
        <v>6190.4</v>
      </c>
      <c r="F30" s="327">
        <v>0.151</v>
      </c>
      <c r="G30" s="319">
        <f t="shared" si="1"/>
        <v>6257.9250000000002</v>
      </c>
    </row>
    <row r="31" spans="2:14" x14ac:dyDescent="0.25">
      <c r="C31" s="324" t="s">
        <v>119</v>
      </c>
      <c r="D31" s="327">
        <v>0.25490000000000002</v>
      </c>
      <c r="E31" s="319">
        <f t="shared" si="0"/>
        <v>6478.3850000000002</v>
      </c>
      <c r="F31" s="327">
        <v>0.23880000000000001</v>
      </c>
      <c r="G31" s="319">
        <f t="shared" si="1"/>
        <v>6580.59</v>
      </c>
    </row>
    <row r="32" spans="2:14" x14ac:dyDescent="0.25">
      <c r="C32" s="324" t="s">
        <v>120</v>
      </c>
      <c r="D32" s="327">
        <v>0.1593</v>
      </c>
      <c r="E32" s="319">
        <f t="shared" si="0"/>
        <v>6129.4449999999997</v>
      </c>
      <c r="F32" s="327">
        <v>0.1593</v>
      </c>
      <c r="G32" s="319">
        <f t="shared" si="1"/>
        <v>6288.4274999999998</v>
      </c>
    </row>
    <row r="33" spans="3:7" x14ac:dyDescent="0.25">
      <c r="C33" s="324" t="s">
        <v>121</v>
      </c>
      <c r="D33" s="327">
        <v>0.17749999999999999</v>
      </c>
      <c r="E33" s="319">
        <f t="shared" si="0"/>
        <v>6195.875</v>
      </c>
      <c r="F33" s="327">
        <v>0.17749999999999999</v>
      </c>
      <c r="G33" s="319">
        <f t="shared" si="1"/>
        <v>6355.3125</v>
      </c>
    </row>
    <row r="34" spans="3:7" x14ac:dyDescent="0.25">
      <c r="C34" s="324" t="s">
        <v>122</v>
      </c>
      <c r="D34" s="327">
        <v>8.2500000000000004E-2</v>
      </c>
      <c r="E34" s="319">
        <f t="shared" si="0"/>
        <v>5849.125</v>
      </c>
      <c r="F34" s="327">
        <v>7.4499999999999997E-2</v>
      </c>
      <c r="G34" s="319">
        <f t="shared" si="1"/>
        <v>5976.7875000000004</v>
      </c>
    </row>
    <row r="35" spans="3:7" x14ac:dyDescent="0.25">
      <c r="C35" s="324" t="s">
        <v>123</v>
      </c>
      <c r="D35" s="327">
        <v>0.16259999999999999</v>
      </c>
      <c r="E35" s="319">
        <f t="shared" si="0"/>
        <v>6141.49</v>
      </c>
      <c r="F35" s="327">
        <v>0.1452</v>
      </c>
      <c r="G35" s="319">
        <f t="shared" si="1"/>
        <v>6236.61</v>
      </c>
    </row>
    <row r="36" spans="3:7" x14ac:dyDescent="0.25">
      <c r="C36" s="324" t="s">
        <v>124</v>
      </c>
      <c r="D36" s="327">
        <v>5.3699999999999998E-2</v>
      </c>
      <c r="E36" s="319">
        <f t="shared" si="0"/>
        <v>5744.0050000000001</v>
      </c>
      <c r="F36" s="327">
        <v>5.3699999999999998E-2</v>
      </c>
      <c r="G36" s="319">
        <f t="shared" si="1"/>
        <v>5900.3474999999999</v>
      </c>
    </row>
    <row r="37" spans="3:7" x14ac:dyDescent="0.25">
      <c r="C37" s="324" t="s">
        <v>125</v>
      </c>
      <c r="D37" s="327">
        <v>0.12859999999999999</v>
      </c>
      <c r="E37" s="319">
        <f t="shared" si="0"/>
        <v>6017.39</v>
      </c>
      <c r="F37" s="327">
        <v>0.12859999999999999</v>
      </c>
      <c r="G37" s="319">
        <f t="shared" si="1"/>
        <v>6175.6049999999996</v>
      </c>
    </row>
    <row r="38" spans="3:7" x14ac:dyDescent="0.25">
      <c r="C38" s="324" t="s">
        <v>126</v>
      </c>
      <c r="D38" s="327">
        <v>0.17519999999999999</v>
      </c>
      <c r="E38" s="319">
        <f t="shared" si="0"/>
        <v>6187.48</v>
      </c>
      <c r="F38" s="327">
        <v>0.1552</v>
      </c>
      <c r="G38" s="319">
        <f t="shared" si="1"/>
        <v>6273.36</v>
      </c>
    </row>
    <row r="39" spans="3:7" x14ac:dyDescent="0.25">
      <c r="C39" s="325" t="s">
        <v>127</v>
      </c>
      <c r="D39" s="327">
        <v>0.38129999999999997</v>
      </c>
      <c r="E39" s="319">
        <f t="shared" si="0"/>
        <v>6939.7449999999999</v>
      </c>
      <c r="F39" s="327">
        <v>0.38129999999999997</v>
      </c>
      <c r="G39" s="319">
        <f t="shared" si="1"/>
        <v>7104.2775000000001</v>
      </c>
    </row>
    <row r="40" spans="3:7" x14ac:dyDescent="0.25">
      <c r="C40" s="324" t="s">
        <v>128</v>
      </c>
      <c r="D40" s="327">
        <v>2.3599999999999999E-2</v>
      </c>
      <c r="E40" s="319">
        <f t="shared" si="0"/>
        <v>5634.14</v>
      </c>
      <c r="F40" s="327">
        <v>2.3599999999999999E-2</v>
      </c>
      <c r="G40" s="319">
        <f t="shared" si="1"/>
        <v>5789.73</v>
      </c>
    </row>
    <row r="41" spans="3:7" x14ac:dyDescent="0.25">
      <c r="C41" s="324" t="s">
        <v>129</v>
      </c>
      <c r="D41" s="327">
        <v>0.1</v>
      </c>
      <c r="E41" s="319">
        <f t="shared" si="0"/>
        <v>5913</v>
      </c>
      <c r="F41" s="327">
        <v>9.7299999999999998E-2</v>
      </c>
      <c r="G41" s="319">
        <f t="shared" si="1"/>
        <v>6060.5775000000003</v>
      </c>
    </row>
    <row r="42" spans="3:7" x14ac:dyDescent="0.25">
      <c r="C42" s="324" t="s">
        <v>130</v>
      </c>
      <c r="D42" s="327">
        <v>0.1404</v>
      </c>
      <c r="E42" s="319">
        <f t="shared" si="0"/>
        <v>6060.46</v>
      </c>
      <c r="F42" s="327">
        <v>0.1404</v>
      </c>
      <c r="G42" s="319">
        <f t="shared" si="1"/>
        <v>6218.97</v>
      </c>
    </row>
    <row r="43" spans="3:7" x14ac:dyDescent="0.25">
      <c r="C43" s="324" t="s">
        <v>131</v>
      </c>
      <c r="D43" s="327">
        <v>5.6399999999999999E-2</v>
      </c>
      <c r="E43" s="319">
        <f t="shared" si="0"/>
        <v>5753.86</v>
      </c>
      <c r="F43" s="327">
        <v>5.6399999999999999E-2</v>
      </c>
      <c r="G43" s="319">
        <f t="shared" si="1"/>
        <v>5910.27</v>
      </c>
    </row>
    <row r="44" spans="3:7" x14ac:dyDescent="0.25">
      <c r="C44" s="324" t="s">
        <v>132</v>
      </c>
      <c r="D44" s="327">
        <v>0.13500000000000001</v>
      </c>
      <c r="E44" s="319">
        <f t="shared" si="0"/>
        <v>6040.75</v>
      </c>
      <c r="F44" s="327">
        <v>0.13370000000000001</v>
      </c>
      <c r="G44" s="319">
        <f t="shared" si="1"/>
        <v>6194.3474999999999</v>
      </c>
    </row>
    <row r="45" spans="3:7" x14ac:dyDescent="0.25">
      <c r="C45" s="324" t="s">
        <v>133</v>
      </c>
      <c r="D45" s="327">
        <v>0.1091</v>
      </c>
      <c r="E45" s="319">
        <f t="shared" si="0"/>
        <v>5946.2150000000001</v>
      </c>
      <c r="F45" s="327">
        <v>0.1091</v>
      </c>
      <c r="G45" s="319">
        <f t="shared" si="1"/>
        <v>6103.9425000000001</v>
      </c>
    </row>
    <row r="46" spans="3:7" x14ac:dyDescent="0.25">
      <c r="C46" s="324" t="s">
        <v>134</v>
      </c>
      <c r="D46" s="327">
        <v>0.111</v>
      </c>
      <c r="E46" s="319">
        <f t="shared" si="0"/>
        <v>5953.15</v>
      </c>
      <c r="F46" s="327">
        <v>0.1086</v>
      </c>
      <c r="G46" s="319">
        <f t="shared" si="1"/>
        <v>6102.1049999999996</v>
      </c>
    </row>
    <row r="47" spans="3:7" x14ac:dyDescent="0.25">
      <c r="C47" s="324" t="s">
        <v>135</v>
      </c>
      <c r="D47" s="327">
        <v>0.20610000000000001</v>
      </c>
      <c r="E47" s="319">
        <f t="shared" si="0"/>
        <v>6300.2650000000003</v>
      </c>
      <c r="F47" s="327">
        <v>0.19670000000000001</v>
      </c>
      <c r="G47" s="319">
        <f t="shared" si="1"/>
        <v>6425.8725000000004</v>
      </c>
    </row>
    <row r="48" spans="3:7" x14ac:dyDescent="0.25">
      <c r="C48" s="324" t="s">
        <v>136</v>
      </c>
      <c r="D48" s="327">
        <v>0.21240000000000001</v>
      </c>
      <c r="E48" s="319">
        <f t="shared" si="0"/>
        <v>6323.26</v>
      </c>
      <c r="F48" s="327">
        <v>0.20399999999999999</v>
      </c>
      <c r="G48" s="319">
        <f t="shared" si="1"/>
        <v>6452.7</v>
      </c>
    </row>
    <row r="49" spans="3:7" x14ac:dyDescent="0.25">
      <c r="C49" s="324" t="s">
        <v>137</v>
      </c>
      <c r="D49" s="327">
        <v>0.1489</v>
      </c>
      <c r="E49" s="319">
        <f t="shared" si="0"/>
        <v>6091.4849999999997</v>
      </c>
      <c r="F49" s="327">
        <v>0.1239</v>
      </c>
      <c r="G49" s="319">
        <f t="shared" si="1"/>
        <v>6158.3325000000004</v>
      </c>
    </row>
    <row r="50" spans="3:7" x14ac:dyDescent="0.25">
      <c r="C50" s="324" t="s">
        <v>138</v>
      </c>
      <c r="D50" s="327">
        <v>0.1502</v>
      </c>
      <c r="E50" s="319">
        <f t="shared" si="0"/>
        <v>6096.23</v>
      </c>
      <c r="F50" s="327">
        <v>0.1502</v>
      </c>
      <c r="G50" s="319">
        <f t="shared" si="1"/>
        <v>6254.9849999999997</v>
      </c>
    </row>
    <row r="51" spans="3:7" x14ac:dyDescent="0.25">
      <c r="C51" s="324" t="s">
        <v>139</v>
      </c>
      <c r="D51" s="327">
        <v>0.21840000000000001</v>
      </c>
      <c r="E51" s="319">
        <f t="shared" ref="E51:E81" si="2">(D51*$J$20)+$J$19</f>
        <v>6345.16</v>
      </c>
      <c r="F51" s="327">
        <v>0.2104</v>
      </c>
      <c r="G51" s="319">
        <f t="shared" si="1"/>
        <v>6476.22</v>
      </c>
    </row>
    <row r="52" spans="3:7" x14ac:dyDescent="0.25">
      <c r="C52" s="324" t="s">
        <v>140</v>
      </c>
      <c r="D52" s="327">
        <v>0.2331</v>
      </c>
      <c r="E52" s="319">
        <f t="shared" si="2"/>
        <v>6398.8150000000005</v>
      </c>
      <c r="F52" s="327">
        <v>0.20810000000000001</v>
      </c>
      <c r="G52" s="319">
        <f t="shared" si="1"/>
        <v>6467.7674999999999</v>
      </c>
    </row>
    <row r="53" spans="3:7" x14ac:dyDescent="0.25">
      <c r="C53" s="324" t="s">
        <v>141</v>
      </c>
      <c r="D53" s="327">
        <v>0.14599999999999999</v>
      </c>
      <c r="E53" s="319">
        <f t="shared" si="2"/>
        <v>6080.9</v>
      </c>
      <c r="F53" s="327">
        <v>0.1237</v>
      </c>
      <c r="G53" s="319">
        <f t="shared" si="1"/>
        <v>6157.5974999999999</v>
      </c>
    </row>
    <row r="54" spans="3:7" x14ac:dyDescent="0.25">
      <c r="C54" s="324" t="s">
        <v>142</v>
      </c>
      <c r="D54" s="327">
        <v>0.10150000000000001</v>
      </c>
      <c r="E54" s="319">
        <f t="shared" si="2"/>
        <v>5918.4750000000004</v>
      </c>
      <c r="F54" s="327">
        <v>9.8799999999999999E-2</v>
      </c>
      <c r="G54" s="319">
        <f t="shared" si="1"/>
        <v>6066.09</v>
      </c>
    </row>
    <row r="55" spans="3:7" x14ac:dyDescent="0.25">
      <c r="C55" s="324" t="s">
        <v>143</v>
      </c>
      <c r="D55" s="327">
        <v>0.17879999999999999</v>
      </c>
      <c r="E55" s="319">
        <f t="shared" si="2"/>
        <v>6200.62</v>
      </c>
      <c r="F55" s="327">
        <v>0.17879999999999999</v>
      </c>
      <c r="G55" s="319">
        <f t="shared" si="1"/>
        <v>6360.09</v>
      </c>
    </row>
    <row r="56" spans="3:7" x14ac:dyDescent="0.25">
      <c r="C56" s="324" t="s">
        <v>144</v>
      </c>
      <c r="D56" s="327">
        <v>0.21010000000000001</v>
      </c>
      <c r="E56" s="319">
        <f t="shared" si="2"/>
        <v>6314.8649999999998</v>
      </c>
      <c r="F56" s="327">
        <v>0.21010000000000001</v>
      </c>
      <c r="G56" s="319">
        <f t="shared" si="1"/>
        <v>6475.1175000000003</v>
      </c>
    </row>
    <row r="57" spans="3:7" x14ac:dyDescent="0.25">
      <c r="C57" s="324" t="s">
        <v>145</v>
      </c>
      <c r="D57" s="327">
        <v>0.22450000000000001</v>
      </c>
      <c r="E57" s="319">
        <f t="shared" si="2"/>
        <v>6367.4250000000002</v>
      </c>
      <c r="F57" s="327">
        <v>0.21</v>
      </c>
      <c r="G57" s="319">
        <f t="shared" si="1"/>
        <v>6474.75</v>
      </c>
    </row>
    <row r="58" spans="3:7" x14ac:dyDescent="0.25">
      <c r="C58" s="324" t="s">
        <v>146</v>
      </c>
      <c r="D58" s="327">
        <v>0.1898</v>
      </c>
      <c r="E58" s="319">
        <f t="shared" si="2"/>
        <v>6240.77</v>
      </c>
      <c r="F58" s="327">
        <v>0.18840000000000001</v>
      </c>
      <c r="G58" s="319">
        <f t="shared" si="1"/>
        <v>6395.37</v>
      </c>
    </row>
    <row r="59" spans="3:7" x14ac:dyDescent="0.25">
      <c r="C59" s="324" t="s">
        <v>147</v>
      </c>
      <c r="D59" s="327">
        <v>6.6000000000000003E-2</v>
      </c>
      <c r="E59" s="319">
        <f t="shared" si="2"/>
        <v>5788.9</v>
      </c>
      <c r="F59" s="327">
        <v>6.6000000000000003E-2</v>
      </c>
      <c r="G59" s="319">
        <f t="shared" si="1"/>
        <v>5945.55</v>
      </c>
    </row>
    <row r="60" spans="3:7" x14ac:dyDescent="0.25">
      <c r="C60" s="325" t="s">
        <v>148</v>
      </c>
      <c r="D60" s="327">
        <v>0.20730000000000001</v>
      </c>
      <c r="E60" s="319">
        <f t="shared" si="2"/>
        <v>6304.6450000000004</v>
      </c>
      <c r="F60" s="327">
        <v>0.19</v>
      </c>
      <c r="G60" s="319">
        <f t="shared" si="1"/>
        <v>6401.25</v>
      </c>
    </row>
    <row r="61" spans="3:7" x14ac:dyDescent="0.25">
      <c r="C61" s="324" t="s">
        <v>149</v>
      </c>
      <c r="D61" s="327">
        <v>0.154</v>
      </c>
      <c r="E61" s="319">
        <f t="shared" si="2"/>
        <v>6110.1</v>
      </c>
      <c r="F61" s="327">
        <v>0.154</v>
      </c>
      <c r="G61" s="319">
        <f t="shared" si="1"/>
        <v>6268.95</v>
      </c>
    </row>
    <row r="62" spans="3:7" x14ac:dyDescent="0.25">
      <c r="C62" s="324" t="s">
        <v>150</v>
      </c>
      <c r="D62" s="327">
        <v>7.3800000000000004E-2</v>
      </c>
      <c r="E62" s="319">
        <f t="shared" si="2"/>
        <v>5817.37</v>
      </c>
      <c r="F62" s="327">
        <v>7.3800000000000004E-2</v>
      </c>
      <c r="G62" s="319">
        <f t="shared" si="1"/>
        <v>5974.2150000000001</v>
      </c>
    </row>
    <row r="63" spans="3:7" x14ac:dyDescent="0.25">
      <c r="C63" s="324" t="s">
        <v>151</v>
      </c>
      <c r="D63" s="327">
        <v>0.14430000000000001</v>
      </c>
      <c r="E63" s="319">
        <f t="shared" si="2"/>
        <v>6074.6949999999997</v>
      </c>
      <c r="F63" s="327">
        <v>0.13370000000000001</v>
      </c>
      <c r="G63" s="319">
        <f t="shared" si="1"/>
        <v>6194.3474999999999</v>
      </c>
    </row>
    <row r="64" spans="3:7" x14ac:dyDescent="0.25">
      <c r="C64" s="324" t="s">
        <v>152</v>
      </c>
      <c r="D64" s="327">
        <v>0.1176</v>
      </c>
      <c r="E64" s="319">
        <f t="shared" si="2"/>
        <v>5977.24</v>
      </c>
      <c r="F64" s="327">
        <v>0.1052</v>
      </c>
      <c r="G64" s="319">
        <f t="shared" si="1"/>
        <v>6089.61</v>
      </c>
    </row>
    <row r="65" spans="3:7" x14ac:dyDescent="0.25">
      <c r="C65" s="324" t="s">
        <v>153</v>
      </c>
      <c r="D65" s="327">
        <v>0.13450000000000001</v>
      </c>
      <c r="E65" s="319">
        <f t="shared" si="2"/>
        <v>6038.9250000000002</v>
      </c>
      <c r="F65" s="327">
        <v>0.128</v>
      </c>
      <c r="G65" s="319">
        <f t="shared" si="1"/>
        <v>6173.4</v>
      </c>
    </row>
    <row r="66" spans="3:7" x14ac:dyDescent="0.25">
      <c r="C66" s="324" t="s">
        <v>154</v>
      </c>
      <c r="D66" s="327">
        <v>0.15529999999999999</v>
      </c>
      <c r="E66" s="319">
        <f t="shared" si="2"/>
        <v>6114.8450000000003</v>
      </c>
      <c r="F66" s="327">
        <v>0.15529999999999999</v>
      </c>
      <c r="G66" s="319">
        <f t="shared" si="1"/>
        <v>6273.7275</v>
      </c>
    </row>
    <row r="67" spans="3:7" x14ac:dyDescent="0.25">
      <c r="C67" s="324" t="s">
        <v>155</v>
      </c>
      <c r="D67" s="327">
        <v>0.13289999999999999</v>
      </c>
      <c r="E67" s="319">
        <f t="shared" si="2"/>
        <v>6033.085</v>
      </c>
      <c r="F67" s="327">
        <v>0.13289999999999999</v>
      </c>
      <c r="G67" s="319">
        <f t="shared" si="1"/>
        <v>6191.4075000000003</v>
      </c>
    </row>
    <row r="68" spans="3:7" x14ac:dyDescent="0.25">
      <c r="C68" s="324" t="s">
        <v>156</v>
      </c>
      <c r="D68" s="327">
        <v>8.3900000000000002E-2</v>
      </c>
      <c r="E68" s="319">
        <f t="shared" si="2"/>
        <v>5854.2349999999997</v>
      </c>
      <c r="F68" s="327">
        <v>8.2000000000000003E-2</v>
      </c>
      <c r="G68" s="319">
        <f t="shared" si="1"/>
        <v>6004.35</v>
      </c>
    </row>
    <row r="69" spans="3:7" x14ac:dyDescent="0.25">
      <c r="C69" s="324" t="s">
        <v>157</v>
      </c>
      <c r="D69" s="327">
        <v>0.21840000000000001</v>
      </c>
      <c r="E69" s="319">
        <f t="shared" si="2"/>
        <v>6345.16</v>
      </c>
      <c r="F69" s="327">
        <v>0.21840000000000001</v>
      </c>
      <c r="G69" s="319">
        <f t="shared" si="1"/>
        <v>6505.62</v>
      </c>
    </row>
    <row r="70" spans="3:7" x14ac:dyDescent="0.25">
      <c r="C70" s="324" t="s">
        <v>158</v>
      </c>
      <c r="D70" s="327">
        <v>0.17219999999999999</v>
      </c>
      <c r="E70" s="319">
        <f t="shared" si="2"/>
        <v>6176.53</v>
      </c>
      <c r="F70" s="327">
        <v>0.17219999999999999</v>
      </c>
      <c r="G70" s="319">
        <f t="shared" si="1"/>
        <v>6335.835</v>
      </c>
    </row>
    <row r="71" spans="3:7" x14ac:dyDescent="0.25">
      <c r="C71" s="324" t="s">
        <v>159</v>
      </c>
      <c r="D71" s="327">
        <v>0.15079999999999999</v>
      </c>
      <c r="E71" s="319">
        <f t="shared" si="2"/>
        <v>6098.42</v>
      </c>
      <c r="F71" s="327">
        <v>0.13339999999999999</v>
      </c>
      <c r="G71" s="319">
        <f t="shared" si="1"/>
        <v>6193.2449999999999</v>
      </c>
    </row>
    <row r="72" spans="3:7" x14ac:dyDescent="0.25">
      <c r="C72" s="324" t="s">
        <v>160</v>
      </c>
      <c r="D72" s="327">
        <v>5.0200000000000002E-2</v>
      </c>
      <c r="E72" s="319">
        <f t="shared" si="2"/>
        <v>5731.23</v>
      </c>
      <c r="F72" s="327">
        <v>5.0200000000000002E-2</v>
      </c>
      <c r="G72" s="319">
        <f t="shared" si="1"/>
        <v>5887.4849999999997</v>
      </c>
    </row>
    <row r="73" spans="3:7" x14ac:dyDescent="0.25">
      <c r="C73" s="324" t="s">
        <v>161</v>
      </c>
      <c r="D73" s="327">
        <v>0.1711</v>
      </c>
      <c r="E73" s="319">
        <f t="shared" si="2"/>
        <v>6172.5150000000003</v>
      </c>
      <c r="F73" s="327">
        <v>0.15590000000000001</v>
      </c>
      <c r="G73" s="319">
        <f t="shared" si="1"/>
        <v>6275.9324999999999</v>
      </c>
    </row>
    <row r="74" spans="3:7" x14ac:dyDescent="0.25">
      <c r="C74" s="324" t="s">
        <v>162</v>
      </c>
      <c r="D74" s="327">
        <v>0.1507</v>
      </c>
      <c r="E74" s="319">
        <f t="shared" si="2"/>
        <v>6098.0550000000003</v>
      </c>
      <c r="F74" s="327">
        <v>0.1507</v>
      </c>
      <c r="G74" s="319">
        <f t="shared" si="1"/>
        <v>6256.8225000000002</v>
      </c>
    </row>
    <row r="75" spans="3:7" x14ac:dyDescent="0.25">
      <c r="C75" s="324" t="s">
        <v>163</v>
      </c>
      <c r="D75" s="327">
        <v>0.16020000000000001</v>
      </c>
      <c r="E75" s="319">
        <f t="shared" si="2"/>
        <v>6132.73</v>
      </c>
      <c r="F75" s="327">
        <v>0.15129999999999999</v>
      </c>
      <c r="G75" s="319">
        <f t="shared" si="1"/>
        <v>6259.0275000000001</v>
      </c>
    </row>
    <row r="76" spans="3:7" x14ac:dyDescent="0.25">
      <c r="C76" s="324" t="s">
        <v>164</v>
      </c>
      <c r="D76" s="327">
        <v>9.9699999999999997E-2</v>
      </c>
      <c r="E76" s="319">
        <f t="shared" si="2"/>
        <v>5911.9049999999997</v>
      </c>
      <c r="F76" s="327">
        <v>8.9599999999999999E-2</v>
      </c>
      <c r="G76" s="319">
        <f t="shared" si="1"/>
        <v>6032.28</v>
      </c>
    </row>
    <row r="77" spans="3:7" x14ac:dyDescent="0.25">
      <c r="C77" s="324" t="s">
        <v>165</v>
      </c>
      <c r="D77" s="327">
        <v>0.11899999999999999</v>
      </c>
      <c r="E77" s="319">
        <f t="shared" si="2"/>
        <v>5982.35</v>
      </c>
      <c r="F77" s="327">
        <v>0.11899999999999999</v>
      </c>
      <c r="G77" s="319">
        <f t="shared" si="1"/>
        <v>6140.3249999999998</v>
      </c>
    </row>
    <row r="78" spans="3:7" x14ac:dyDescent="0.25">
      <c r="C78" s="324" t="s">
        <v>166</v>
      </c>
      <c r="D78" s="327">
        <v>0.161</v>
      </c>
      <c r="E78" s="319">
        <f t="shared" si="2"/>
        <v>6135.65</v>
      </c>
      <c r="F78" s="327">
        <v>0.13600000000000001</v>
      </c>
      <c r="G78" s="319">
        <f t="shared" si="1"/>
        <v>6202.8</v>
      </c>
    </row>
    <row r="79" spans="3:7" x14ac:dyDescent="0.25">
      <c r="C79" s="324" t="s">
        <v>167</v>
      </c>
      <c r="D79" s="327">
        <v>0.2157</v>
      </c>
      <c r="E79" s="319">
        <f t="shared" si="2"/>
        <v>6335.3050000000003</v>
      </c>
      <c r="F79" s="327">
        <v>0.19070000000000001</v>
      </c>
      <c r="G79" s="319">
        <f t="shared" si="1"/>
        <v>6403.8225000000002</v>
      </c>
    </row>
    <row r="80" spans="3:7" x14ac:dyDescent="0.25">
      <c r="C80" s="324" t="s">
        <v>168</v>
      </c>
      <c r="D80" s="327">
        <v>0.24399999999999999</v>
      </c>
      <c r="E80" s="319">
        <f t="shared" si="2"/>
        <v>6438.6</v>
      </c>
      <c r="F80" s="327">
        <v>0.22209999999999999</v>
      </c>
      <c r="G80" s="319">
        <f t="shared" si="1"/>
        <v>6519.2174999999997</v>
      </c>
    </row>
    <row r="81" spans="3:7" x14ac:dyDescent="0.25">
      <c r="C81" s="324" t="s">
        <v>169</v>
      </c>
      <c r="D81" s="327">
        <v>0.28349999999999997</v>
      </c>
      <c r="E81" s="319">
        <f t="shared" si="2"/>
        <v>6582.7749999999996</v>
      </c>
      <c r="F81" s="327">
        <v>0.2656</v>
      </c>
      <c r="G81" s="319">
        <f t="shared" si="1"/>
        <v>6679.08</v>
      </c>
    </row>
    <row r="82" spans="3:7" x14ac:dyDescent="0.25">
      <c r="C82" s="324" t="s">
        <v>170</v>
      </c>
      <c r="D82" s="327">
        <v>0.17780000000000001</v>
      </c>
      <c r="E82" s="319">
        <f t="shared" ref="E82:E145" si="3">(D82*$J$20)+$J$19</f>
        <v>6196.97</v>
      </c>
      <c r="F82" s="327">
        <v>0.15279999999999999</v>
      </c>
      <c r="G82" s="319">
        <f t="shared" si="1"/>
        <v>6264.54</v>
      </c>
    </row>
    <row r="83" spans="3:7" x14ac:dyDescent="0.25">
      <c r="C83" s="324" t="s">
        <v>171</v>
      </c>
      <c r="D83" s="327">
        <v>0.25750000000000001</v>
      </c>
      <c r="E83" s="319">
        <f t="shared" si="3"/>
        <v>6487.875</v>
      </c>
      <c r="F83" s="327">
        <v>0.24340000000000001</v>
      </c>
      <c r="G83" s="319">
        <f t="shared" si="1"/>
        <v>6597.4949999999999</v>
      </c>
    </row>
    <row r="84" spans="3:7" x14ac:dyDescent="0.25">
      <c r="C84" s="324" t="s">
        <v>172</v>
      </c>
      <c r="D84" s="327">
        <v>3.61E-2</v>
      </c>
      <c r="E84" s="319">
        <f t="shared" si="3"/>
        <v>5679.7650000000003</v>
      </c>
      <c r="F84" s="327">
        <v>3.61E-2</v>
      </c>
      <c r="G84" s="319">
        <f t="shared" ref="G84:G147" si="4">(F84*$K$20)+$K$19</f>
        <v>5835.6674999999996</v>
      </c>
    </row>
    <row r="85" spans="3:7" x14ac:dyDescent="0.25">
      <c r="C85" s="324" t="s">
        <v>173</v>
      </c>
      <c r="D85" s="327">
        <v>0.26369999999999999</v>
      </c>
      <c r="E85" s="319">
        <f t="shared" si="3"/>
        <v>6510.5050000000001</v>
      </c>
      <c r="F85" s="327">
        <v>0.2387</v>
      </c>
      <c r="G85" s="319">
        <f t="shared" si="4"/>
        <v>6580.2224999999999</v>
      </c>
    </row>
    <row r="86" spans="3:7" x14ac:dyDescent="0.25">
      <c r="C86" s="324" t="s">
        <v>174</v>
      </c>
      <c r="D86" s="327">
        <v>0.1419</v>
      </c>
      <c r="E86" s="319">
        <f t="shared" si="3"/>
        <v>6065.9349999999995</v>
      </c>
      <c r="F86" s="327">
        <v>0.1169</v>
      </c>
      <c r="G86" s="319">
        <f t="shared" si="4"/>
        <v>6132.6075000000001</v>
      </c>
    </row>
    <row r="87" spans="3:7" x14ac:dyDescent="0.25">
      <c r="C87" s="324" t="s">
        <v>175</v>
      </c>
      <c r="D87" s="327">
        <v>0.3155</v>
      </c>
      <c r="E87" s="319">
        <f t="shared" si="3"/>
        <v>6699.5749999999998</v>
      </c>
      <c r="F87" s="327">
        <v>0.29049999999999998</v>
      </c>
      <c r="G87" s="319">
        <f t="shared" si="4"/>
        <v>6770.5874999999996</v>
      </c>
    </row>
    <row r="88" spans="3:7" x14ac:dyDescent="0.25">
      <c r="C88" s="324" t="s">
        <v>176</v>
      </c>
      <c r="D88" s="327">
        <v>0.13789999999999999</v>
      </c>
      <c r="E88" s="319">
        <f t="shared" si="3"/>
        <v>6051.335</v>
      </c>
      <c r="F88" s="327">
        <v>0.13789999999999999</v>
      </c>
      <c r="G88" s="319">
        <f t="shared" si="4"/>
        <v>6209.7825000000003</v>
      </c>
    </row>
    <row r="89" spans="3:7" x14ac:dyDescent="0.25">
      <c r="C89" s="324" t="s">
        <v>177</v>
      </c>
      <c r="D89" s="327">
        <v>0.1472</v>
      </c>
      <c r="E89" s="319">
        <f t="shared" si="3"/>
        <v>6085.28</v>
      </c>
      <c r="F89" s="327">
        <v>0.1472</v>
      </c>
      <c r="G89" s="319">
        <f t="shared" si="4"/>
        <v>6243.96</v>
      </c>
    </row>
    <row r="90" spans="3:7" x14ac:dyDescent="0.25">
      <c r="C90" s="324" t="s">
        <v>178</v>
      </c>
      <c r="D90" s="327">
        <v>0.1012</v>
      </c>
      <c r="E90" s="319">
        <f t="shared" si="3"/>
        <v>5917.38</v>
      </c>
      <c r="F90" s="327">
        <v>0.1012</v>
      </c>
      <c r="G90" s="319">
        <f t="shared" si="4"/>
        <v>6074.91</v>
      </c>
    </row>
    <row r="91" spans="3:7" x14ac:dyDescent="0.25">
      <c r="C91" s="324" t="s">
        <v>179</v>
      </c>
      <c r="D91" s="327">
        <v>0.1101</v>
      </c>
      <c r="E91" s="319">
        <f t="shared" si="3"/>
        <v>5949.8649999999998</v>
      </c>
      <c r="F91" s="327">
        <v>0.1101</v>
      </c>
      <c r="G91" s="319">
        <f t="shared" si="4"/>
        <v>6107.6175000000003</v>
      </c>
    </row>
    <row r="92" spans="3:7" x14ac:dyDescent="0.25">
      <c r="C92" s="324" t="s">
        <v>180</v>
      </c>
      <c r="D92" s="327">
        <v>0.1226</v>
      </c>
      <c r="E92" s="319">
        <f t="shared" si="3"/>
        <v>5995.49</v>
      </c>
      <c r="F92" s="327">
        <v>0.1116</v>
      </c>
      <c r="G92" s="319">
        <f t="shared" si="4"/>
        <v>6113.13</v>
      </c>
    </row>
    <row r="93" spans="3:7" x14ac:dyDescent="0.25">
      <c r="C93" s="324" t="s">
        <v>181</v>
      </c>
      <c r="D93" s="327">
        <v>8.7900000000000006E-2</v>
      </c>
      <c r="E93" s="319">
        <f t="shared" si="3"/>
        <v>5868.835</v>
      </c>
      <c r="F93" s="327">
        <v>8.7900000000000006E-2</v>
      </c>
      <c r="G93" s="319">
        <f t="shared" si="4"/>
        <v>6026.0325000000003</v>
      </c>
    </row>
    <row r="94" spans="3:7" x14ac:dyDescent="0.25">
      <c r="C94" s="324" t="s">
        <v>182</v>
      </c>
      <c r="D94" s="327">
        <v>0.14269999999999999</v>
      </c>
      <c r="E94" s="319">
        <f t="shared" si="3"/>
        <v>6068.8549999999996</v>
      </c>
      <c r="F94" s="327">
        <v>0.12770000000000001</v>
      </c>
      <c r="G94" s="319">
        <f t="shared" si="4"/>
        <v>6172.2974999999997</v>
      </c>
    </row>
    <row r="95" spans="3:7" x14ac:dyDescent="0.25">
      <c r="C95" s="324" t="s">
        <v>183</v>
      </c>
      <c r="D95" s="327">
        <v>0.59160000000000001</v>
      </c>
      <c r="E95" s="319">
        <f t="shared" si="3"/>
        <v>7707.34</v>
      </c>
      <c r="F95" s="327">
        <v>0.56850000000000001</v>
      </c>
      <c r="G95" s="319">
        <f t="shared" si="4"/>
        <v>7792.2375000000002</v>
      </c>
    </row>
    <row r="96" spans="3:7" x14ac:dyDescent="0.25">
      <c r="C96" s="324" t="s">
        <v>184</v>
      </c>
      <c r="D96" s="327">
        <v>0.1216</v>
      </c>
      <c r="E96" s="319">
        <f t="shared" si="3"/>
        <v>5991.84</v>
      </c>
      <c r="F96" s="327">
        <v>9.6600000000000005E-2</v>
      </c>
      <c r="G96" s="319">
        <f t="shared" si="4"/>
        <v>6058.0050000000001</v>
      </c>
    </row>
    <row r="97" spans="3:7" x14ac:dyDescent="0.25">
      <c r="C97" s="324" t="s">
        <v>185</v>
      </c>
      <c r="D97" s="327">
        <v>0.17150000000000001</v>
      </c>
      <c r="E97" s="319">
        <f t="shared" si="3"/>
        <v>6173.9750000000004</v>
      </c>
      <c r="F97" s="327">
        <v>0.1709</v>
      </c>
      <c r="G97" s="319">
        <f t="shared" si="4"/>
        <v>6331.0574999999999</v>
      </c>
    </row>
    <row r="98" spans="3:7" x14ac:dyDescent="0.25">
      <c r="C98" s="324" t="s">
        <v>186</v>
      </c>
      <c r="D98" s="327">
        <v>6.4000000000000001E-2</v>
      </c>
      <c r="E98" s="319">
        <f t="shared" si="3"/>
        <v>5781.6</v>
      </c>
      <c r="F98" s="327">
        <v>6.4000000000000001E-2</v>
      </c>
      <c r="G98" s="319">
        <f t="shared" si="4"/>
        <v>5938.2</v>
      </c>
    </row>
    <row r="99" spans="3:7" x14ac:dyDescent="0.25">
      <c r="C99" s="324" t="s">
        <v>187</v>
      </c>
      <c r="D99" s="327">
        <v>0.17449999999999999</v>
      </c>
      <c r="E99" s="319">
        <f t="shared" si="3"/>
        <v>6184.9250000000002</v>
      </c>
      <c r="F99" s="327">
        <v>0.17449999999999999</v>
      </c>
      <c r="G99" s="319">
        <f t="shared" si="4"/>
        <v>6344.2875000000004</v>
      </c>
    </row>
    <row r="100" spans="3:7" x14ac:dyDescent="0.25">
      <c r="C100" s="324" t="s">
        <v>188</v>
      </c>
      <c r="D100" s="327">
        <v>0.1191</v>
      </c>
      <c r="E100" s="319">
        <f t="shared" si="3"/>
        <v>5982.7150000000001</v>
      </c>
      <c r="F100" s="327">
        <v>0.11799999999999999</v>
      </c>
      <c r="G100" s="319">
        <f t="shared" si="4"/>
        <v>6136.65</v>
      </c>
    </row>
    <row r="101" spans="3:7" x14ac:dyDescent="0.25">
      <c r="C101" s="324" t="s">
        <v>189</v>
      </c>
      <c r="D101" s="327">
        <v>0.16719999999999999</v>
      </c>
      <c r="E101" s="319">
        <f t="shared" si="3"/>
        <v>6158.28</v>
      </c>
      <c r="F101" s="327">
        <v>0.16689999999999999</v>
      </c>
      <c r="G101" s="319">
        <f t="shared" si="4"/>
        <v>6316.3575000000001</v>
      </c>
    </row>
    <row r="102" spans="3:7" x14ac:dyDescent="0.25">
      <c r="C102" s="324" t="s">
        <v>190</v>
      </c>
      <c r="D102" s="327">
        <v>0.15379999999999999</v>
      </c>
      <c r="E102" s="319">
        <f t="shared" si="3"/>
        <v>6109.37</v>
      </c>
      <c r="F102" s="327">
        <v>0.15379999999999999</v>
      </c>
      <c r="G102" s="319">
        <f t="shared" si="4"/>
        <v>6268.2150000000001</v>
      </c>
    </row>
    <row r="103" spans="3:7" x14ac:dyDescent="0.25">
      <c r="C103" s="324" t="s">
        <v>191</v>
      </c>
      <c r="D103" s="327">
        <v>0.1943</v>
      </c>
      <c r="E103" s="319">
        <f t="shared" si="3"/>
        <v>6257.1949999999997</v>
      </c>
      <c r="F103" s="327">
        <v>0.17929999999999999</v>
      </c>
      <c r="G103" s="319">
        <f t="shared" si="4"/>
        <v>6361.9274999999998</v>
      </c>
    </row>
    <row r="104" spans="3:7" x14ac:dyDescent="0.25">
      <c r="C104" s="325" t="s">
        <v>192</v>
      </c>
      <c r="D104" s="327">
        <v>9.2799999999999994E-2</v>
      </c>
      <c r="E104" s="319">
        <f t="shared" si="3"/>
        <v>5886.72</v>
      </c>
      <c r="F104" s="327">
        <v>9.2799999999999994E-2</v>
      </c>
      <c r="G104" s="319">
        <f t="shared" si="4"/>
        <v>6044.04</v>
      </c>
    </row>
    <row r="105" spans="3:7" x14ac:dyDescent="0.25">
      <c r="C105" s="324" t="s">
        <v>193</v>
      </c>
      <c r="D105" s="327">
        <v>9.7299999999999998E-2</v>
      </c>
      <c r="E105" s="319">
        <f t="shared" si="3"/>
        <v>5903.1450000000004</v>
      </c>
      <c r="F105" s="327">
        <v>9.7299999999999998E-2</v>
      </c>
      <c r="G105" s="319">
        <f t="shared" si="4"/>
        <v>6060.5775000000003</v>
      </c>
    </row>
    <row r="106" spans="3:7" x14ac:dyDescent="0.25">
      <c r="C106" s="324" t="s">
        <v>194</v>
      </c>
      <c r="D106" s="327">
        <v>3.1600000000000003E-2</v>
      </c>
      <c r="E106" s="319">
        <f t="shared" si="3"/>
        <v>5663.34</v>
      </c>
      <c r="F106" s="327">
        <v>3.1600000000000003E-2</v>
      </c>
      <c r="G106" s="319">
        <f t="shared" si="4"/>
        <v>5819.13</v>
      </c>
    </row>
    <row r="107" spans="3:7" x14ac:dyDescent="0.25">
      <c r="C107" s="326" t="s">
        <v>195</v>
      </c>
      <c r="D107" s="327">
        <v>7.2499999999999995E-2</v>
      </c>
      <c r="E107" s="319">
        <f t="shared" si="3"/>
        <v>5812.625</v>
      </c>
      <c r="F107" s="327">
        <v>7.2499999999999995E-2</v>
      </c>
      <c r="G107" s="319">
        <f t="shared" si="4"/>
        <v>5969.4375</v>
      </c>
    </row>
    <row r="108" spans="3:7" x14ac:dyDescent="0.25">
      <c r="C108" s="324" t="s">
        <v>196</v>
      </c>
      <c r="D108" s="327">
        <v>0.15409999999999999</v>
      </c>
      <c r="E108" s="319">
        <f t="shared" si="3"/>
        <v>6110.4650000000001</v>
      </c>
      <c r="F108" s="327">
        <v>0.15409999999999999</v>
      </c>
      <c r="G108" s="319">
        <f t="shared" si="4"/>
        <v>6269.3175000000001</v>
      </c>
    </row>
    <row r="109" spans="3:7" x14ac:dyDescent="0.25">
      <c r="C109" s="324" t="s">
        <v>197</v>
      </c>
      <c r="D109" s="327">
        <v>0.44590000000000002</v>
      </c>
      <c r="E109" s="319">
        <f t="shared" si="3"/>
        <v>7175.5349999999999</v>
      </c>
      <c r="F109" s="327">
        <v>0.4209</v>
      </c>
      <c r="G109" s="319">
        <f t="shared" si="4"/>
        <v>7249.8074999999999</v>
      </c>
    </row>
    <row r="110" spans="3:7" x14ac:dyDescent="0.25">
      <c r="C110" s="325" t="s">
        <v>198</v>
      </c>
      <c r="D110" s="327">
        <v>0.14530000000000001</v>
      </c>
      <c r="E110" s="319">
        <f t="shared" si="3"/>
        <v>6078.3450000000003</v>
      </c>
      <c r="F110" s="327">
        <v>0.13539999999999999</v>
      </c>
      <c r="G110" s="319">
        <f t="shared" si="4"/>
        <v>6200.5950000000003</v>
      </c>
    </row>
    <row r="111" spans="3:7" x14ac:dyDescent="0.25">
      <c r="C111" s="324" t="s">
        <v>199</v>
      </c>
      <c r="D111" s="327">
        <v>0.1608</v>
      </c>
      <c r="E111" s="319">
        <f t="shared" si="3"/>
        <v>6134.92</v>
      </c>
      <c r="F111" s="327">
        <v>0.1381</v>
      </c>
      <c r="G111" s="319">
        <f t="shared" si="4"/>
        <v>6210.5174999999999</v>
      </c>
    </row>
    <row r="112" spans="3:7" x14ac:dyDescent="0.25">
      <c r="C112" s="324" t="s">
        <v>200</v>
      </c>
      <c r="D112" s="327">
        <v>0.21010000000000001</v>
      </c>
      <c r="E112" s="319">
        <f t="shared" si="3"/>
        <v>6314.8649999999998</v>
      </c>
      <c r="F112" s="327">
        <v>0.18509999999999999</v>
      </c>
      <c r="G112" s="319">
        <f t="shared" si="4"/>
        <v>6383.2425000000003</v>
      </c>
    </row>
    <row r="113" spans="3:7" x14ac:dyDescent="0.25">
      <c r="C113" s="324" t="s">
        <v>201</v>
      </c>
      <c r="D113" s="327">
        <v>0.104</v>
      </c>
      <c r="E113" s="319">
        <f t="shared" si="3"/>
        <v>5927.6</v>
      </c>
      <c r="F113" s="327">
        <v>0.104</v>
      </c>
      <c r="G113" s="319">
        <f t="shared" si="4"/>
        <v>6085.2</v>
      </c>
    </row>
    <row r="114" spans="3:7" x14ac:dyDescent="0.25">
      <c r="C114" s="324" t="s">
        <v>202</v>
      </c>
      <c r="D114" s="327">
        <v>0.13270000000000001</v>
      </c>
      <c r="E114" s="319">
        <f t="shared" si="3"/>
        <v>6032.3549999999996</v>
      </c>
      <c r="F114" s="327">
        <v>0.13270000000000001</v>
      </c>
      <c r="G114" s="319">
        <f t="shared" si="4"/>
        <v>6190.6724999999997</v>
      </c>
    </row>
    <row r="115" spans="3:7" x14ac:dyDescent="0.25">
      <c r="C115" s="324" t="s">
        <v>203</v>
      </c>
      <c r="D115" s="327">
        <v>0.24410000000000001</v>
      </c>
      <c r="E115" s="319">
        <f t="shared" si="3"/>
        <v>6438.9650000000001</v>
      </c>
      <c r="F115" s="327">
        <v>0.21920000000000001</v>
      </c>
      <c r="G115" s="319">
        <f t="shared" si="4"/>
        <v>6508.56</v>
      </c>
    </row>
    <row r="116" spans="3:7" x14ac:dyDescent="0.25">
      <c r="C116" s="324" t="s">
        <v>204</v>
      </c>
      <c r="D116" s="327">
        <v>0.35439999999999999</v>
      </c>
      <c r="E116" s="319">
        <f t="shared" si="3"/>
        <v>6841.5599999999995</v>
      </c>
      <c r="F116" s="327">
        <v>0.33040000000000003</v>
      </c>
      <c r="G116" s="319">
        <f t="shared" si="4"/>
        <v>6917.22</v>
      </c>
    </row>
    <row r="117" spans="3:7" x14ac:dyDescent="0.25">
      <c r="C117" s="324" t="s">
        <v>205</v>
      </c>
      <c r="D117" s="327">
        <v>0.2868</v>
      </c>
      <c r="E117" s="319">
        <f t="shared" si="3"/>
        <v>6594.82</v>
      </c>
      <c r="F117" s="327">
        <v>0.27329999999999999</v>
      </c>
      <c r="G117" s="319">
        <f t="shared" si="4"/>
        <v>6707.3774999999996</v>
      </c>
    </row>
    <row r="118" spans="3:7" x14ac:dyDescent="0.25">
      <c r="C118" s="326" t="s">
        <v>206</v>
      </c>
      <c r="D118" s="327">
        <v>6.0499999999999998E-2</v>
      </c>
      <c r="E118" s="319">
        <f t="shared" si="3"/>
        <v>5768.8249999999998</v>
      </c>
      <c r="F118" s="327">
        <v>6.0499999999999998E-2</v>
      </c>
      <c r="G118" s="319">
        <f t="shared" si="4"/>
        <v>5925.3374999999996</v>
      </c>
    </row>
    <row r="119" spans="3:7" x14ac:dyDescent="0.25">
      <c r="C119" s="326" t="s">
        <v>207</v>
      </c>
      <c r="D119" s="327">
        <v>0.4819</v>
      </c>
      <c r="E119" s="319">
        <f t="shared" si="3"/>
        <v>7306.9349999999995</v>
      </c>
      <c r="F119" s="327">
        <v>0.45689999999999997</v>
      </c>
      <c r="G119" s="319">
        <f t="shared" si="4"/>
        <v>7382.1075000000001</v>
      </c>
    </row>
    <row r="120" spans="3:7" x14ac:dyDescent="0.25">
      <c r="C120" s="326" t="s">
        <v>208</v>
      </c>
      <c r="D120" s="327">
        <v>0.35749999999999998</v>
      </c>
      <c r="E120" s="319">
        <f t="shared" si="3"/>
        <v>6852.875</v>
      </c>
      <c r="F120" s="327">
        <v>0.33250000000000002</v>
      </c>
      <c r="G120" s="319">
        <f t="shared" si="4"/>
        <v>6924.9375</v>
      </c>
    </row>
    <row r="121" spans="3:7" x14ac:dyDescent="0.25">
      <c r="C121" s="326" t="s">
        <v>209</v>
      </c>
      <c r="D121" s="327">
        <v>0.12559999999999999</v>
      </c>
      <c r="E121" s="319">
        <f t="shared" si="3"/>
        <v>6006.44</v>
      </c>
      <c r="F121" s="327">
        <v>0.12559999999999999</v>
      </c>
      <c r="G121" s="319">
        <f t="shared" si="4"/>
        <v>6164.58</v>
      </c>
    </row>
    <row r="122" spans="3:7" x14ac:dyDescent="0.25">
      <c r="C122" s="324" t="s">
        <v>210</v>
      </c>
      <c r="D122" s="327">
        <v>5.6099999999999997E-2</v>
      </c>
      <c r="E122" s="319">
        <f t="shared" si="3"/>
        <v>5752.7650000000003</v>
      </c>
      <c r="F122" s="327">
        <v>5.6099999999999997E-2</v>
      </c>
      <c r="G122" s="319">
        <f t="shared" si="4"/>
        <v>5909.1674999999996</v>
      </c>
    </row>
    <row r="123" spans="3:7" x14ac:dyDescent="0.25">
      <c r="C123" s="324" t="s">
        <v>211</v>
      </c>
      <c r="D123" s="327">
        <v>0.21579999999999999</v>
      </c>
      <c r="E123" s="319">
        <f t="shared" si="3"/>
        <v>6335.67</v>
      </c>
      <c r="F123" s="327">
        <v>0.1951</v>
      </c>
      <c r="G123" s="319">
        <f t="shared" si="4"/>
        <v>6419.9925000000003</v>
      </c>
    </row>
    <row r="124" spans="3:7" x14ac:dyDescent="0.25">
      <c r="C124" s="324" t="s">
        <v>212</v>
      </c>
      <c r="D124" s="327">
        <v>0.17860000000000001</v>
      </c>
      <c r="E124" s="319">
        <f t="shared" si="3"/>
        <v>6199.89</v>
      </c>
      <c r="F124" s="327">
        <v>0.16250000000000001</v>
      </c>
      <c r="G124" s="319">
        <f t="shared" si="4"/>
        <v>6300.1875</v>
      </c>
    </row>
    <row r="125" spans="3:7" x14ac:dyDescent="0.25">
      <c r="C125" s="324" t="s">
        <v>213</v>
      </c>
      <c r="D125" s="327">
        <v>0.1363</v>
      </c>
      <c r="E125" s="319">
        <f t="shared" si="3"/>
        <v>6045.4949999999999</v>
      </c>
      <c r="F125" s="327">
        <v>0.121</v>
      </c>
      <c r="G125" s="319">
        <f t="shared" si="4"/>
        <v>6147.6750000000002</v>
      </c>
    </row>
    <row r="126" spans="3:7" x14ac:dyDescent="0.25">
      <c r="C126" s="324" t="s">
        <v>399</v>
      </c>
      <c r="D126" s="327">
        <v>0.1386</v>
      </c>
      <c r="E126" s="319">
        <f t="shared" si="3"/>
        <v>6053.89</v>
      </c>
      <c r="F126" s="327">
        <v>0.1221</v>
      </c>
      <c r="G126" s="319">
        <f t="shared" si="4"/>
        <v>6151.7174999999997</v>
      </c>
    </row>
    <row r="127" spans="3:7" x14ac:dyDescent="0.25">
      <c r="C127" s="324" t="s">
        <v>214</v>
      </c>
      <c r="D127" s="327">
        <v>0.2288</v>
      </c>
      <c r="E127" s="319">
        <f t="shared" si="3"/>
        <v>6383.12</v>
      </c>
      <c r="F127" s="327">
        <v>0.2288</v>
      </c>
      <c r="G127" s="319">
        <f t="shared" si="4"/>
        <v>6543.84</v>
      </c>
    </row>
    <row r="128" spans="3:7" x14ac:dyDescent="0.25">
      <c r="C128" s="324" t="s">
        <v>215</v>
      </c>
      <c r="D128" s="327">
        <v>0.17280000000000001</v>
      </c>
      <c r="E128" s="319">
        <f t="shared" si="3"/>
        <v>6178.72</v>
      </c>
      <c r="F128" s="327">
        <v>0.17280000000000001</v>
      </c>
      <c r="G128" s="319">
        <f t="shared" si="4"/>
        <v>6338.04</v>
      </c>
    </row>
    <row r="129" spans="3:7" x14ac:dyDescent="0.25">
      <c r="C129" s="324" t="s">
        <v>216</v>
      </c>
      <c r="D129" s="327">
        <v>0.21540000000000001</v>
      </c>
      <c r="E129" s="319">
        <f t="shared" si="3"/>
        <v>6334.21</v>
      </c>
      <c r="F129" s="327">
        <v>0.19040000000000001</v>
      </c>
      <c r="G129" s="319">
        <f t="shared" si="4"/>
        <v>6402.72</v>
      </c>
    </row>
    <row r="130" spans="3:7" x14ac:dyDescent="0.25">
      <c r="C130" s="325" t="s">
        <v>217</v>
      </c>
      <c r="D130" s="327">
        <v>0.1205</v>
      </c>
      <c r="E130" s="319">
        <f t="shared" si="3"/>
        <v>5987.8249999999998</v>
      </c>
      <c r="F130" s="327">
        <v>0.109</v>
      </c>
      <c r="G130" s="319">
        <f t="shared" si="4"/>
        <v>6103.5749999999998</v>
      </c>
    </row>
    <row r="131" spans="3:7" x14ac:dyDescent="0.25">
      <c r="C131" s="324" t="s">
        <v>218</v>
      </c>
      <c r="D131" s="327">
        <v>0.1384</v>
      </c>
      <c r="E131" s="319">
        <f t="shared" si="3"/>
        <v>6053.16</v>
      </c>
      <c r="F131" s="327">
        <v>0.1275</v>
      </c>
      <c r="G131" s="319">
        <f t="shared" si="4"/>
        <v>6171.5625</v>
      </c>
    </row>
    <row r="132" spans="3:7" x14ac:dyDescent="0.25">
      <c r="C132" s="324" t="s">
        <v>219</v>
      </c>
      <c r="D132" s="327">
        <v>0.1066</v>
      </c>
      <c r="E132" s="319">
        <f t="shared" si="3"/>
        <v>5937.09</v>
      </c>
      <c r="F132" s="327">
        <v>0.1066</v>
      </c>
      <c r="G132" s="319">
        <f t="shared" si="4"/>
        <v>6094.7550000000001</v>
      </c>
    </row>
    <row r="133" spans="3:7" x14ac:dyDescent="0.25">
      <c r="C133" s="324" t="s">
        <v>220</v>
      </c>
      <c r="D133" s="327">
        <v>0.24709999999999999</v>
      </c>
      <c r="E133" s="319">
        <f t="shared" si="3"/>
        <v>6449.915</v>
      </c>
      <c r="F133" s="327">
        <v>0.24709999999999999</v>
      </c>
      <c r="G133" s="319">
        <f t="shared" si="4"/>
        <v>6611.0924999999997</v>
      </c>
    </row>
    <row r="134" spans="3:7" x14ac:dyDescent="0.25">
      <c r="C134" s="324" t="s">
        <v>221</v>
      </c>
      <c r="D134" s="327">
        <v>0.2379</v>
      </c>
      <c r="E134" s="319">
        <f t="shared" si="3"/>
        <v>6416.335</v>
      </c>
      <c r="F134" s="327">
        <v>0.23319999999999999</v>
      </c>
      <c r="G134" s="319">
        <f t="shared" si="4"/>
        <v>6560.01</v>
      </c>
    </row>
    <row r="135" spans="3:7" x14ac:dyDescent="0.25">
      <c r="C135" s="324" t="s">
        <v>222</v>
      </c>
      <c r="D135" s="327">
        <v>0.18720000000000001</v>
      </c>
      <c r="E135" s="319">
        <f t="shared" si="3"/>
        <v>6231.28</v>
      </c>
      <c r="F135" s="327">
        <v>0.18720000000000001</v>
      </c>
      <c r="G135" s="319">
        <f t="shared" si="4"/>
        <v>6390.96</v>
      </c>
    </row>
    <row r="136" spans="3:7" x14ac:dyDescent="0.25">
      <c r="C136" s="324" t="s">
        <v>223</v>
      </c>
      <c r="D136" s="327">
        <v>0.19900000000000001</v>
      </c>
      <c r="E136" s="319">
        <f t="shared" si="3"/>
        <v>6274.35</v>
      </c>
      <c r="F136" s="327">
        <v>0.1988</v>
      </c>
      <c r="G136" s="319">
        <f t="shared" si="4"/>
        <v>6433.59</v>
      </c>
    </row>
    <row r="137" spans="3:7" x14ac:dyDescent="0.25">
      <c r="C137" s="324" t="s">
        <v>224</v>
      </c>
      <c r="D137" s="327">
        <v>0.11210000000000001</v>
      </c>
      <c r="E137" s="319">
        <f t="shared" si="3"/>
        <v>5957.165</v>
      </c>
      <c r="F137" s="327">
        <v>0.11210000000000001</v>
      </c>
      <c r="G137" s="319">
        <f t="shared" si="4"/>
        <v>6114.9674999999997</v>
      </c>
    </row>
    <row r="138" spans="3:7" x14ac:dyDescent="0.25">
      <c r="C138" s="324" t="s">
        <v>225</v>
      </c>
      <c r="D138" s="327">
        <v>0.15310000000000001</v>
      </c>
      <c r="E138" s="319">
        <f t="shared" si="3"/>
        <v>6106.8150000000005</v>
      </c>
      <c r="F138" s="327">
        <v>0.14929999999999999</v>
      </c>
      <c r="G138" s="319">
        <f t="shared" si="4"/>
        <v>6251.6774999999998</v>
      </c>
    </row>
    <row r="139" spans="3:7" x14ac:dyDescent="0.25">
      <c r="C139" s="324" t="s">
        <v>226</v>
      </c>
      <c r="D139" s="327">
        <v>0.24410000000000001</v>
      </c>
      <c r="E139" s="319">
        <f t="shared" si="3"/>
        <v>6438.9650000000001</v>
      </c>
      <c r="F139" s="327">
        <v>0.23150000000000001</v>
      </c>
      <c r="G139" s="319">
        <f t="shared" si="4"/>
        <v>6553.7624999999998</v>
      </c>
    </row>
    <row r="140" spans="3:7" x14ac:dyDescent="0.25">
      <c r="C140" s="324" t="s">
        <v>227</v>
      </c>
      <c r="D140" s="327">
        <v>0.2364</v>
      </c>
      <c r="E140" s="319">
        <f t="shared" si="3"/>
        <v>6410.86</v>
      </c>
      <c r="F140" s="327">
        <v>0.22639999999999999</v>
      </c>
      <c r="G140" s="319">
        <f t="shared" si="4"/>
        <v>6535.02</v>
      </c>
    </row>
    <row r="141" spans="3:7" x14ac:dyDescent="0.25">
      <c r="C141" s="324" t="s">
        <v>228</v>
      </c>
      <c r="D141" s="327">
        <v>0.24160000000000001</v>
      </c>
      <c r="E141" s="319">
        <f t="shared" si="3"/>
        <v>6429.84</v>
      </c>
      <c r="F141" s="327">
        <v>0.24160000000000001</v>
      </c>
      <c r="G141" s="319">
        <f t="shared" si="4"/>
        <v>6590.88</v>
      </c>
    </row>
    <row r="142" spans="3:7" x14ac:dyDescent="0.25">
      <c r="C142" s="324" t="s">
        <v>229</v>
      </c>
      <c r="D142" s="327">
        <v>4.87E-2</v>
      </c>
      <c r="E142" s="319">
        <f t="shared" si="3"/>
        <v>5725.7550000000001</v>
      </c>
      <c r="F142" s="327">
        <v>4.87E-2</v>
      </c>
      <c r="G142" s="319">
        <f t="shared" si="4"/>
        <v>5881.9724999999999</v>
      </c>
    </row>
    <row r="143" spans="3:7" x14ac:dyDescent="0.25">
      <c r="C143" s="324" t="s">
        <v>230</v>
      </c>
      <c r="D143" s="327">
        <v>0.14119999999999999</v>
      </c>
      <c r="E143" s="319">
        <f t="shared" si="3"/>
        <v>6063.38</v>
      </c>
      <c r="F143" s="327">
        <v>0.14119999999999999</v>
      </c>
      <c r="G143" s="319">
        <f t="shared" si="4"/>
        <v>6221.91</v>
      </c>
    </row>
    <row r="144" spans="3:7" x14ac:dyDescent="0.25">
      <c r="C144" s="324" t="s">
        <v>231</v>
      </c>
      <c r="D144" s="327">
        <v>0.161</v>
      </c>
      <c r="E144" s="319">
        <f t="shared" si="3"/>
        <v>6135.65</v>
      </c>
      <c r="F144" s="327">
        <v>0.1517</v>
      </c>
      <c r="G144" s="319">
        <f t="shared" si="4"/>
        <v>6260.4975000000004</v>
      </c>
    </row>
    <row r="145" spans="3:7" x14ac:dyDescent="0.25">
      <c r="C145" s="324" t="s">
        <v>232</v>
      </c>
      <c r="D145" s="327">
        <v>0.14230000000000001</v>
      </c>
      <c r="E145" s="319">
        <f t="shared" si="3"/>
        <v>6067.3950000000004</v>
      </c>
      <c r="F145" s="327">
        <v>0.1173</v>
      </c>
      <c r="G145" s="319">
        <f t="shared" si="4"/>
        <v>6134.0775000000003</v>
      </c>
    </row>
    <row r="146" spans="3:7" x14ac:dyDescent="0.25">
      <c r="C146" s="324" t="s">
        <v>233</v>
      </c>
      <c r="D146" s="327">
        <v>0.3236</v>
      </c>
      <c r="E146" s="319">
        <f t="shared" ref="E146:E209" si="5">(D146*$J$20)+$J$19</f>
        <v>6729.14</v>
      </c>
      <c r="F146" s="327">
        <v>0.30080000000000001</v>
      </c>
      <c r="G146" s="319">
        <f t="shared" si="4"/>
        <v>6808.4400000000005</v>
      </c>
    </row>
    <row r="147" spans="3:7" x14ac:dyDescent="0.25">
      <c r="C147" s="324" t="s">
        <v>234</v>
      </c>
      <c r="D147" s="327">
        <v>0.2162</v>
      </c>
      <c r="E147" s="319">
        <f t="shared" si="5"/>
        <v>6337.13</v>
      </c>
      <c r="F147" s="327">
        <v>0.2021</v>
      </c>
      <c r="G147" s="319">
        <f t="shared" si="4"/>
        <v>6445.7174999999997</v>
      </c>
    </row>
    <row r="148" spans="3:7" x14ac:dyDescent="0.25">
      <c r="C148" s="324" t="s">
        <v>235</v>
      </c>
      <c r="D148" s="327">
        <v>0.29970000000000002</v>
      </c>
      <c r="E148" s="319">
        <f t="shared" si="5"/>
        <v>6641.9049999999997</v>
      </c>
      <c r="F148" s="327">
        <v>0.2747</v>
      </c>
      <c r="G148" s="319">
        <f t="shared" ref="G148:G211" si="6">(F148*$K$20)+$K$19</f>
        <v>6712.5225</v>
      </c>
    </row>
    <row r="149" spans="3:7" x14ac:dyDescent="0.25">
      <c r="C149" s="324" t="s">
        <v>236</v>
      </c>
      <c r="D149" s="327">
        <v>0.21190000000000001</v>
      </c>
      <c r="E149" s="319">
        <f t="shared" si="5"/>
        <v>6321.4350000000004</v>
      </c>
      <c r="F149" s="327">
        <v>0.2074</v>
      </c>
      <c r="G149" s="319">
        <f t="shared" si="6"/>
        <v>6465.1949999999997</v>
      </c>
    </row>
    <row r="150" spans="3:7" x14ac:dyDescent="0.25">
      <c r="C150" s="324" t="s">
        <v>237</v>
      </c>
      <c r="D150" s="327">
        <v>0.19220000000000001</v>
      </c>
      <c r="E150" s="319">
        <f t="shared" si="5"/>
        <v>6249.53</v>
      </c>
      <c r="F150" s="327">
        <v>0.17119999999999999</v>
      </c>
      <c r="G150" s="319">
        <f t="shared" si="6"/>
        <v>6332.16</v>
      </c>
    </row>
    <row r="151" spans="3:7" x14ac:dyDescent="0.25">
      <c r="C151" s="324" t="s">
        <v>238</v>
      </c>
      <c r="D151" s="327">
        <v>0.19420000000000001</v>
      </c>
      <c r="E151" s="319">
        <f t="shared" si="5"/>
        <v>6256.83</v>
      </c>
      <c r="F151" s="327">
        <v>0.19420000000000001</v>
      </c>
      <c r="G151" s="319">
        <f t="shared" si="6"/>
        <v>6416.6850000000004</v>
      </c>
    </row>
    <row r="152" spans="3:7" x14ac:dyDescent="0.25">
      <c r="C152" s="324" t="s">
        <v>239</v>
      </c>
      <c r="D152" s="327">
        <v>0.13669999999999999</v>
      </c>
      <c r="E152" s="319">
        <f t="shared" si="5"/>
        <v>6046.9549999999999</v>
      </c>
      <c r="F152" s="327">
        <v>0.13669999999999999</v>
      </c>
      <c r="G152" s="319">
        <f t="shared" si="6"/>
        <v>6205.3724999999995</v>
      </c>
    </row>
    <row r="153" spans="3:7" x14ac:dyDescent="0.25">
      <c r="C153" s="324" t="s">
        <v>240</v>
      </c>
      <c r="D153" s="327">
        <v>0.44230000000000003</v>
      </c>
      <c r="E153" s="319">
        <f t="shared" si="5"/>
        <v>7162.3950000000004</v>
      </c>
      <c r="F153" s="327">
        <v>0.4299</v>
      </c>
      <c r="G153" s="319">
        <f t="shared" si="6"/>
        <v>7282.8824999999997</v>
      </c>
    </row>
    <row r="154" spans="3:7" x14ac:dyDescent="0.25">
      <c r="C154" s="324" t="s">
        <v>241</v>
      </c>
      <c r="D154" s="327">
        <v>0.3513</v>
      </c>
      <c r="E154" s="319">
        <f t="shared" si="5"/>
        <v>6830.2449999999999</v>
      </c>
      <c r="F154" s="327">
        <v>0.32629999999999998</v>
      </c>
      <c r="G154" s="319">
        <f t="shared" si="6"/>
        <v>6902.1525000000001</v>
      </c>
    </row>
    <row r="155" spans="3:7" x14ac:dyDescent="0.25">
      <c r="C155" s="326" t="s">
        <v>242</v>
      </c>
      <c r="D155" s="327">
        <v>0.24540000000000001</v>
      </c>
      <c r="E155" s="319">
        <f t="shared" si="5"/>
        <v>6443.71</v>
      </c>
      <c r="F155" s="327">
        <v>0.24540000000000001</v>
      </c>
      <c r="G155" s="319">
        <f t="shared" si="6"/>
        <v>6604.8450000000003</v>
      </c>
    </row>
    <row r="156" spans="3:7" x14ac:dyDescent="0.25">
      <c r="C156" s="324" t="s">
        <v>243</v>
      </c>
      <c r="D156" s="327">
        <v>0.41749999999999998</v>
      </c>
      <c r="E156" s="319">
        <f t="shared" si="5"/>
        <v>7071.875</v>
      </c>
      <c r="F156" s="327">
        <v>0.39529999999999998</v>
      </c>
      <c r="G156" s="319">
        <f t="shared" si="6"/>
        <v>7155.7275</v>
      </c>
    </row>
    <row r="157" spans="3:7" x14ac:dyDescent="0.25">
      <c r="C157" s="324" t="s">
        <v>244</v>
      </c>
      <c r="D157" s="327">
        <v>4.0099999999999997E-2</v>
      </c>
      <c r="E157" s="319">
        <f t="shared" si="5"/>
        <v>5694.3649999999998</v>
      </c>
      <c r="F157" s="327">
        <v>3.9E-2</v>
      </c>
      <c r="G157" s="319">
        <f t="shared" si="6"/>
        <v>5846.3249999999998</v>
      </c>
    </row>
    <row r="158" spans="3:7" x14ac:dyDescent="0.25">
      <c r="C158" s="324" t="s">
        <v>245</v>
      </c>
      <c r="D158" s="327">
        <v>0.15049999999999999</v>
      </c>
      <c r="E158" s="319">
        <f t="shared" si="5"/>
        <v>6097.3249999999998</v>
      </c>
      <c r="F158" s="327">
        <v>0.15049999999999999</v>
      </c>
      <c r="G158" s="319">
        <f t="shared" si="6"/>
        <v>6256.0874999999996</v>
      </c>
    </row>
    <row r="159" spans="3:7" x14ac:dyDescent="0.25">
      <c r="C159" s="324" t="s">
        <v>246</v>
      </c>
      <c r="D159" s="327">
        <v>6.6000000000000003E-2</v>
      </c>
      <c r="E159" s="319">
        <f t="shared" si="5"/>
        <v>5788.9</v>
      </c>
      <c r="F159" s="327">
        <v>6.6000000000000003E-2</v>
      </c>
      <c r="G159" s="319">
        <f t="shared" si="6"/>
        <v>5945.55</v>
      </c>
    </row>
    <row r="160" spans="3:7" x14ac:dyDescent="0.25">
      <c r="C160" s="324" t="s">
        <v>247</v>
      </c>
      <c r="D160" s="327">
        <v>0.26910000000000001</v>
      </c>
      <c r="E160" s="319">
        <f t="shared" si="5"/>
        <v>6530.2150000000001</v>
      </c>
      <c r="F160" s="327">
        <v>0.26140000000000002</v>
      </c>
      <c r="G160" s="319">
        <f t="shared" si="6"/>
        <v>6663.6450000000004</v>
      </c>
    </row>
    <row r="161" spans="3:7" x14ac:dyDescent="0.25">
      <c r="C161" s="324" t="s">
        <v>248</v>
      </c>
      <c r="D161" s="327">
        <v>0.2112</v>
      </c>
      <c r="E161" s="319">
        <f t="shared" si="5"/>
        <v>6318.88</v>
      </c>
      <c r="F161" s="327">
        <v>0.2112</v>
      </c>
      <c r="G161" s="319">
        <f t="shared" si="6"/>
        <v>6479.16</v>
      </c>
    </row>
    <row r="162" spans="3:7" x14ac:dyDescent="0.25">
      <c r="C162" s="324" t="s">
        <v>249</v>
      </c>
      <c r="D162" s="327">
        <v>0.18759999999999999</v>
      </c>
      <c r="E162" s="319">
        <f t="shared" si="5"/>
        <v>6232.74</v>
      </c>
      <c r="F162" s="327">
        <v>0.16259999999999999</v>
      </c>
      <c r="G162" s="319">
        <f t="shared" si="6"/>
        <v>6300.5550000000003</v>
      </c>
    </row>
    <row r="163" spans="3:7" x14ac:dyDescent="0.25">
      <c r="C163" s="324" t="s">
        <v>250</v>
      </c>
      <c r="D163" s="327">
        <v>0.15160000000000001</v>
      </c>
      <c r="E163" s="319">
        <f t="shared" si="5"/>
        <v>6101.34</v>
      </c>
      <c r="F163" s="327">
        <v>0.15160000000000001</v>
      </c>
      <c r="G163" s="319">
        <f t="shared" si="6"/>
        <v>6260.13</v>
      </c>
    </row>
    <row r="164" spans="3:7" x14ac:dyDescent="0.25">
      <c r="C164" s="324" t="s">
        <v>251</v>
      </c>
      <c r="D164" s="327">
        <v>0.11559999999999999</v>
      </c>
      <c r="E164" s="319">
        <f t="shared" si="5"/>
        <v>5969.94</v>
      </c>
      <c r="F164" s="327">
        <v>0.11559999999999999</v>
      </c>
      <c r="G164" s="319">
        <f t="shared" si="6"/>
        <v>6127.83</v>
      </c>
    </row>
    <row r="165" spans="3:7" x14ac:dyDescent="0.25">
      <c r="C165" s="324" t="s">
        <v>252</v>
      </c>
      <c r="D165" s="327">
        <v>0.13819999999999999</v>
      </c>
      <c r="E165" s="319">
        <f t="shared" si="5"/>
        <v>6052.43</v>
      </c>
      <c r="F165" s="327">
        <v>0.13819999999999999</v>
      </c>
      <c r="G165" s="319">
        <f t="shared" si="6"/>
        <v>6210.8850000000002</v>
      </c>
    </row>
    <row r="166" spans="3:7" x14ac:dyDescent="0.25">
      <c r="C166" s="324" t="s">
        <v>253</v>
      </c>
      <c r="D166" s="327">
        <v>7.4099999999999999E-2</v>
      </c>
      <c r="E166" s="319">
        <f t="shared" si="5"/>
        <v>5818.4650000000001</v>
      </c>
      <c r="F166" s="327">
        <v>7.4099999999999999E-2</v>
      </c>
      <c r="G166" s="319">
        <f t="shared" si="6"/>
        <v>5975.3175000000001</v>
      </c>
    </row>
    <row r="167" spans="3:7" x14ac:dyDescent="0.25">
      <c r="C167" s="324" t="s">
        <v>254</v>
      </c>
      <c r="D167" s="327">
        <v>0.45600000000000002</v>
      </c>
      <c r="E167" s="319">
        <f t="shared" si="5"/>
        <v>7212.4</v>
      </c>
      <c r="F167" s="327">
        <v>0.4375</v>
      </c>
      <c r="G167" s="319">
        <f t="shared" si="6"/>
        <v>7310.8125</v>
      </c>
    </row>
    <row r="168" spans="3:7" x14ac:dyDescent="0.25">
      <c r="C168" s="324" t="s">
        <v>255</v>
      </c>
      <c r="D168" s="327">
        <v>0.1227</v>
      </c>
      <c r="E168" s="319">
        <f t="shared" si="5"/>
        <v>5995.8549999999996</v>
      </c>
      <c r="F168" s="327">
        <v>0.1193</v>
      </c>
      <c r="G168" s="319">
        <f t="shared" si="6"/>
        <v>6141.4274999999998</v>
      </c>
    </row>
    <row r="169" spans="3:7" x14ac:dyDescent="0.25">
      <c r="C169" s="324" t="s">
        <v>256</v>
      </c>
      <c r="D169" s="327">
        <v>0.16589999999999999</v>
      </c>
      <c r="E169" s="319">
        <f t="shared" si="5"/>
        <v>6153.5349999999999</v>
      </c>
      <c r="F169" s="327">
        <v>0.1648</v>
      </c>
      <c r="G169" s="319">
        <f t="shared" si="6"/>
        <v>6308.64</v>
      </c>
    </row>
    <row r="170" spans="3:7" x14ac:dyDescent="0.25">
      <c r="C170" s="324" t="s">
        <v>257</v>
      </c>
      <c r="D170" s="327">
        <v>0.26800000000000002</v>
      </c>
      <c r="E170" s="319">
        <f t="shared" si="5"/>
        <v>6526.2</v>
      </c>
      <c r="F170" s="327">
        <v>0.2545</v>
      </c>
      <c r="G170" s="319">
        <f t="shared" si="6"/>
        <v>6638.2875000000004</v>
      </c>
    </row>
    <row r="171" spans="3:7" x14ac:dyDescent="0.25">
      <c r="C171" s="324" t="s">
        <v>258</v>
      </c>
      <c r="D171" s="327">
        <v>0.10580000000000001</v>
      </c>
      <c r="E171" s="319">
        <f t="shared" si="5"/>
        <v>5934.17</v>
      </c>
      <c r="F171" s="327">
        <v>8.9800000000000005E-2</v>
      </c>
      <c r="G171" s="319">
        <f t="shared" si="6"/>
        <v>6033.0150000000003</v>
      </c>
    </row>
    <row r="172" spans="3:7" x14ac:dyDescent="0.25">
      <c r="C172" s="324" t="s">
        <v>259</v>
      </c>
      <c r="D172" s="327">
        <v>9.3200000000000005E-2</v>
      </c>
      <c r="E172" s="319">
        <f t="shared" si="5"/>
        <v>5888.18</v>
      </c>
      <c r="F172" s="327">
        <v>9.3200000000000005E-2</v>
      </c>
      <c r="G172" s="319">
        <f t="shared" si="6"/>
        <v>6045.51</v>
      </c>
    </row>
    <row r="173" spans="3:7" x14ac:dyDescent="0.25">
      <c r="C173" s="324" t="s">
        <v>260</v>
      </c>
      <c r="D173" s="327">
        <v>6.6400000000000001E-2</v>
      </c>
      <c r="E173" s="319">
        <f t="shared" si="5"/>
        <v>5790.36</v>
      </c>
      <c r="F173" s="327">
        <v>6.6400000000000001E-2</v>
      </c>
      <c r="G173" s="319">
        <f t="shared" si="6"/>
        <v>5947.02</v>
      </c>
    </row>
    <row r="174" spans="3:7" x14ac:dyDescent="0.25">
      <c r="C174" s="324" t="s">
        <v>261</v>
      </c>
      <c r="D174" s="327">
        <v>0.185</v>
      </c>
      <c r="E174" s="319">
        <f t="shared" si="5"/>
        <v>6223.25</v>
      </c>
      <c r="F174" s="327">
        <v>0.185</v>
      </c>
      <c r="G174" s="319">
        <f t="shared" si="6"/>
        <v>6382.875</v>
      </c>
    </row>
    <row r="175" spans="3:7" x14ac:dyDescent="0.25">
      <c r="C175" s="324" t="s">
        <v>262</v>
      </c>
      <c r="D175" s="327">
        <v>0.23499999999999999</v>
      </c>
      <c r="E175" s="319">
        <f t="shared" si="5"/>
        <v>6405.75</v>
      </c>
      <c r="F175" s="327">
        <v>0.2258</v>
      </c>
      <c r="G175" s="319">
        <f t="shared" si="6"/>
        <v>6532.8150000000005</v>
      </c>
    </row>
    <row r="176" spans="3:7" x14ac:dyDescent="0.25">
      <c r="C176" s="324" t="s">
        <v>263</v>
      </c>
      <c r="D176" s="327">
        <v>0.12529999999999999</v>
      </c>
      <c r="E176" s="319">
        <f t="shared" si="5"/>
        <v>6005.3450000000003</v>
      </c>
      <c r="F176" s="327">
        <v>0.12529999999999999</v>
      </c>
      <c r="G176" s="319">
        <f t="shared" si="6"/>
        <v>6163.4775</v>
      </c>
    </row>
    <row r="177" spans="3:7" x14ac:dyDescent="0.25">
      <c r="C177" s="324" t="s">
        <v>264</v>
      </c>
      <c r="D177" s="327">
        <v>0.22720000000000001</v>
      </c>
      <c r="E177" s="319">
        <f t="shared" si="5"/>
        <v>6377.28</v>
      </c>
      <c r="F177" s="327">
        <v>0.20979999999999999</v>
      </c>
      <c r="G177" s="319">
        <f t="shared" si="6"/>
        <v>6474.0150000000003</v>
      </c>
    </row>
    <row r="178" spans="3:7" x14ac:dyDescent="0.25">
      <c r="C178" s="324" t="s">
        <v>265</v>
      </c>
      <c r="D178" s="327">
        <v>0.14610000000000001</v>
      </c>
      <c r="E178" s="319">
        <f t="shared" si="5"/>
        <v>6081.2650000000003</v>
      </c>
      <c r="F178" s="327">
        <v>0.12820000000000001</v>
      </c>
      <c r="G178" s="319">
        <f t="shared" si="6"/>
        <v>6174.1350000000002</v>
      </c>
    </row>
    <row r="179" spans="3:7" x14ac:dyDescent="0.25">
      <c r="C179" s="324" t="s">
        <v>266</v>
      </c>
      <c r="D179" s="327">
        <v>0.27189999999999998</v>
      </c>
      <c r="E179" s="319">
        <f t="shared" si="5"/>
        <v>6540.4349999999995</v>
      </c>
      <c r="F179" s="327">
        <v>0.27189999999999998</v>
      </c>
      <c r="G179" s="319">
        <f t="shared" si="6"/>
        <v>6702.2325000000001</v>
      </c>
    </row>
    <row r="180" spans="3:7" x14ac:dyDescent="0.25">
      <c r="C180" s="324" t="s">
        <v>267</v>
      </c>
      <c r="D180" s="327">
        <v>0.24390000000000001</v>
      </c>
      <c r="E180" s="319">
        <f t="shared" si="5"/>
        <v>6438.2349999999997</v>
      </c>
      <c r="F180" s="327">
        <v>0.21890000000000001</v>
      </c>
      <c r="G180" s="319">
        <f t="shared" si="6"/>
        <v>6507.4575000000004</v>
      </c>
    </row>
    <row r="181" spans="3:7" x14ac:dyDescent="0.25">
      <c r="C181" s="324" t="s">
        <v>268</v>
      </c>
      <c r="D181" s="327">
        <v>0.16420000000000001</v>
      </c>
      <c r="E181" s="319">
        <f t="shared" si="5"/>
        <v>6147.33</v>
      </c>
      <c r="F181" s="327">
        <v>0.16320000000000001</v>
      </c>
      <c r="G181" s="319">
        <f t="shared" si="6"/>
        <v>6302.76</v>
      </c>
    </row>
    <row r="182" spans="3:7" x14ac:dyDescent="0.25">
      <c r="C182" s="325" t="s">
        <v>269</v>
      </c>
      <c r="D182" s="327">
        <v>0.1072</v>
      </c>
      <c r="E182" s="319">
        <f t="shared" si="5"/>
        <v>5939.28</v>
      </c>
      <c r="F182" s="327">
        <v>0.1037</v>
      </c>
      <c r="G182" s="319">
        <f t="shared" si="6"/>
        <v>6084.0974999999999</v>
      </c>
    </row>
    <row r="183" spans="3:7" x14ac:dyDescent="0.25">
      <c r="C183" s="324" t="s">
        <v>270</v>
      </c>
      <c r="D183" s="327">
        <v>0.1111</v>
      </c>
      <c r="E183" s="319">
        <f t="shared" si="5"/>
        <v>5953.5150000000003</v>
      </c>
      <c r="F183" s="327">
        <v>0.1111</v>
      </c>
      <c r="G183" s="319">
        <f t="shared" si="6"/>
        <v>6111.2924999999996</v>
      </c>
    </row>
    <row r="184" spans="3:7" x14ac:dyDescent="0.25">
      <c r="C184" s="324" t="s">
        <v>271</v>
      </c>
      <c r="D184" s="327">
        <v>0.17019999999999999</v>
      </c>
      <c r="E184" s="319">
        <f t="shared" si="5"/>
        <v>6169.23</v>
      </c>
      <c r="F184" s="327">
        <v>0.1595</v>
      </c>
      <c r="G184" s="319">
        <f t="shared" si="6"/>
        <v>6289.1625000000004</v>
      </c>
    </row>
    <row r="185" spans="3:7" x14ac:dyDescent="0.25">
      <c r="C185" s="324" t="s">
        <v>272</v>
      </c>
      <c r="D185" s="327">
        <v>0.14330000000000001</v>
      </c>
      <c r="E185" s="319">
        <f t="shared" si="5"/>
        <v>6071.0450000000001</v>
      </c>
      <c r="F185" s="327">
        <v>0.1338</v>
      </c>
      <c r="G185" s="319">
        <f t="shared" si="6"/>
        <v>6194.7150000000001</v>
      </c>
    </row>
    <row r="186" spans="3:7" x14ac:dyDescent="0.25">
      <c r="C186" s="324" t="s">
        <v>273</v>
      </c>
      <c r="D186" s="327">
        <v>8.5999999999999993E-2</v>
      </c>
      <c r="E186" s="319">
        <f t="shared" si="5"/>
        <v>5861.9</v>
      </c>
      <c r="F186" s="327">
        <v>8.5999999999999993E-2</v>
      </c>
      <c r="G186" s="319">
        <f t="shared" si="6"/>
        <v>6019.05</v>
      </c>
    </row>
    <row r="187" spans="3:7" x14ac:dyDescent="0.25">
      <c r="C187" s="324" t="s">
        <v>274</v>
      </c>
      <c r="D187" s="327">
        <v>0.20319999999999999</v>
      </c>
      <c r="E187" s="319">
        <f t="shared" si="5"/>
        <v>6289.68</v>
      </c>
      <c r="F187" s="327">
        <v>0.1782</v>
      </c>
      <c r="G187" s="319">
        <f t="shared" si="6"/>
        <v>6357.8850000000002</v>
      </c>
    </row>
    <row r="188" spans="3:7" x14ac:dyDescent="0.25">
      <c r="C188" s="324" t="s">
        <v>275</v>
      </c>
      <c r="D188" s="327">
        <v>4.19E-2</v>
      </c>
      <c r="E188" s="319">
        <f t="shared" si="5"/>
        <v>5700.9350000000004</v>
      </c>
      <c r="F188" s="327">
        <v>4.19E-2</v>
      </c>
      <c r="G188" s="319">
        <f t="shared" si="6"/>
        <v>5856.9825000000001</v>
      </c>
    </row>
    <row r="189" spans="3:7" x14ac:dyDescent="0.25">
      <c r="C189" s="324" t="s">
        <v>276</v>
      </c>
      <c r="D189" s="327">
        <v>0.1555</v>
      </c>
      <c r="E189" s="319">
        <f t="shared" si="5"/>
        <v>6115.5749999999998</v>
      </c>
      <c r="F189" s="327">
        <v>0.15279999999999999</v>
      </c>
      <c r="G189" s="319">
        <f t="shared" si="6"/>
        <v>6264.54</v>
      </c>
    </row>
    <row r="190" spans="3:7" x14ac:dyDescent="0.25">
      <c r="C190" s="324" t="s">
        <v>277</v>
      </c>
      <c r="D190" s="327">
        <v>3.9100000000000003E-2</v>
      </c>
      <c r="E190" s="319">
        <f t="shared" si="5"/>
        <v>5690.7150000000001</v>
      </c>
      <c r="F190" s="327">
        <v>3.9100000000000003E-2</v>
      </c>
      <c r="G190" s="319">
        <f t="shared" si="6"/>
        <v>5846.6925000000001</v>
      </c>
    </row>
    <row r="191" spans="3:7" x14ac:dyDescent="0.25">
      <c r="C191" s="325" t="s">
        <v>278</v>
      </c>
      <c r="D191" s="327">
        <v>0.22009999999999999</v>
      </c>
      <c r="E191" s="319">
        <f t="shared" si="5"/>
        <v>6351.3649999999998</v>
      </c>
      <c r="F191" s="327">
        <v>0.22009999999999999</v>
      </c>
      <c r="G191" s="319">
        <f t="shared" si="6"/>
        <v>6511.8675000000003</v>
      </c>
    </row>
    <row r="192" spans="3:7" x14ac:dyDescent="0.25">
      <c r="C192" s="324" t="s">
        <v>279</v>
      </c>
      <c r="D192" s="327">
        <v>0.1242</v>
      </c>
      <c r="E192" s="319">
        <f t="shared" si="5"/>
        <v>6001.33</v>
      </c>
      <c r="F192" s="327">
        <v>0.1242</v>
      </c>
      <c r="G192" s="319">
        <f t="shared" si="6"/>
        <v>6159.4350000000004</v>
      </c>
    </row>
    <row r="193" spans="3:7" x14ac:dyDescent="0.25">
      <c r="C193" s="324" t="s">
        <v>280</v>
      </c>
      <c r="D193" s="327">
        <v>7.1999999999999995E-2</v>
      </c>
      <c r="E193" s="319">
        <f t="shared" si="5"/>
        <v>5810.8</v>
      </c>
      <c r="F193" s="327">
        <v>7.0300000000000001E-2</v>
      </c>
      <c r="G193" s="319">
        <f t="shared" si="6"/>
        <v>5961.3525</v>
      </c>
    </row>
    <row r="194" spans="3:7" x14ac:dyDescent="0.25">
      <c r="C194" s="324" t="s">
        <v>281</v>
      </c>
      <c r="D194" s="327">
        <v>3.5400000000000001E-2</v>
      </c>
      <c r="E194" s="319">
        <f t="shared" si="5"/>
        <v>5677.21</v>
      </c>
      <c r="F194" s="327">
        <v>3.5400000000000001E-2</v>
      </c>
      <c r="G194" s="319">
        <f t="shared" si="6"/>
        <v>5833.0950000000003</v>
      </c>
    </row>
    <row r="195" spans="3:7" x14ac:dyDescent="0.25">
      <c r="C195" s="324" t="s">
        <v>282</v>
      </c>
      <c r="D195" s="327">
        <v>0.105</v>
      </c>
      <c r="E195" s="319">
        <f t="shared" si="5"/>
        <v>5931.25</v>
      </c>
      <c r="F195" s="327">
        <v>0.105</v>
      </c>
      <c r="G195" s="319">
        <f t="shared" si="6"/>
        <v>6088.875</v>
      </c>
    </row>
    <row r="196" spans="3:7" x14ac:dyDescent="0.25">
      <c r="C196" s="324" t="s">
        <v>283</v>
      </c>
      <c r="D196" s="327">
        <v>7.5399999999999995E-2</v>
      </c>
      <c r="E196" s="319">
        <f t="shared" si="5"/>
        <v>5823.21</v>
      </c>
      <c r="F196" s="327">
        <v>7.5399999999999995E-2</v>
      </c>
      <c r="G196" s="319">
        <f t="shared" si="6"/>
        <v>5980.0950000000003</v>
      </c>
    </row>
    <row r="197" spans="3:7" x14ac:dyDescent="0.25">
      <c r="C197" s="324" t="s">
        <v>284</v>
      </c>
      <c r="D197" s="327">
        <v>0.13850000000000001</v>
      </c>
      <c r="E197" s="319">
        <f t="shared" si="5"/>
        <v>6053.5249999999996</v>
      </c>
      <c r="F197" s="327">
        <v>0.124</v>
      </c>
      <c r="G197" s="319">
        <f t="shared" si="6"/>
        <v>6158.7</v>
      </c>
    </row>
    <row r="198" spans="3:7" x14ac:dyDescent="0.25">
      <c r="C198" s="325" t="s">
        <v>285</v>
      </c>
      <c r="D198" s="327">
        <v>0.22589999999999999</v>
      </c>
      <c r="E198" s="319">
        <f t="shared" si="5"/>
        <v>6372.5349999999999</v>
      </c>
      <c r="F198" s="327">
        <v>0.21890000000000001</v>
      </c>
      <c r="G198" s="319">
        <f t="shared" si="6"/>
        <v>6507.4575000000004</v>
      </c>
    </row>
    <row r="199" spans="3:7" x14ac:dyDescent="0.25">
      <c r="C199" s="325" t="s">
        <v>286</v>
      </c>
      <c r="D199" s="327">
        <v>0.1895</v>
      </c>
      <c r="E199" s="319">
        <f t="shared" si="5"/>
        <v>6239.6750000000002</v>
      </c>
      <c r="F199" s="327">
        <v>0.1895</v>
      </c>
      <c r="G199" s="319">
        <f t="shared" si="6"/>
        <v>6399.4125000000004</v>
      </c>
    </row>
    <row r="200" spans="3:7" x14ac:dyDescent="0.25">
      <c r="C200" s="324" t="s">
        <v>287</v>
      </c>
      <c r="D200" s="327">
        <v>0.21310000000000001</v>
      </c>
      <c r="E200" s="319">
        <f t="shared" si="5"/>
        <v>6325.8150000000005</v>
      </c>
      <c r="F200" s="327">
        <v>0.20630000000000001</v>
      </c>
      <c r="G200" s="319">
        <f t="shared" si="6"/>
        <v>6461.1525000000001</v>
      </c>
    </row>
    <row r="201" spans="3:7" x14ac:dyDescent="0.25">
      <c r="C201" s="324" t="s">
        <v>288</v>
      </c>
      <c r="D201" s="327">
        <v>7.0199999999999999E-2</v>
      </c>
      <c r="E201" s="319">
        <f t="shared" si="5"/>
        <v>5804.23</v>
      </c>
      <c r="F201" s="327">
        <v>7.0199999999999999E-2</v>
      </c>
      <c r="G201" s="319">
        <f t="shared" si="6"/>
        <v>5960.9849999999997</v>
      </c>
    </row>
    <row r="202" spans="3:7" x14ac:dyDescent="0.25">
      <c r="C202" s="324" t="s">
        <v>289</v>
      </c>
      <c r="D202" s="327">
        <v>0.13550000000000001</v>
      </c>
      <c r="E202" s="319">
        <f t="shared" si="5"/>
        <v>6042.5749999999998</v>
      </c>
      <c r="F202" s="327">
        <v>0.13550000000000001</v>
      </c>
      <c r="G202" s="319">
        <f t="shared" si="6"/>
        <v>6200.9624999999996</v>
      </c>
    </row>
    <row r="203" spans="3:7" x14ac:dyDescent="0.25">
      <c r="C203" s="324" t="s">
        <v>290</v>
      </c>
      <c r="D203" s="327">
        <v>0.25700000000000001</v>
      </c>
      <c r="E203" s="319">
        <f t="shared" si="5"/>
        <v>6486.05</v>
      </c>
      <c r="F203" s="327">
        <v>0.23799999999999999</v>
      </c>
      <c r="G203" s="319">
        <f t="shared" si="6"/>
        <v>6577.65</v>
      </c>
    </row>
    <row r="204" spans="3:7" x14ac:dyDescent="0.25">
      <c r="C204" s="324" t="s">
        <v>291</v>
      </c>
      <c r="D204" s="327">
        <v>0.14879999999999999</v>
      </c>
      <c r="E204" s="319">
        <f t="shared" si="5"/>
        <v>6091.12</v>
      </c>
      <c r="F204" s="327">
        <v>0.14879999999999999</v>
      </c>
      <c r="G204" s="319">
        <f t="shared" si="6"/>
        <v>6249.84</v>
      </c>
    </row>
    <row r="205" spans="3:7" x14ac:dyDescent="0.25">
      <c r="C205" s="324" t="s">
        <v>292</v>
      </c>
      <c r="D205" s="327">
        <v>0.1157</v>
      </c>
      <c r="E205" s="319">
        <f t="shared" si="5"/>
        <v>5970.3050000000003</v>
      </c>
      <c r="F205" s="327">
        <v>0.1157</v>
      </c>
      <c r="G205" s="319">
        <f t="shared" si="6"/>
        <v>6128.1975000000002</v>
      </c>
    </row>
    <row r="206" spans="3:7" x14ac:dyDescent="0.25">
      <c r="C206" s="324" t="s">
        <v>293</v>
      </c>
      <c r="D206" s="327">
        <v>7.1800000000000003E-2</v>
      </c>
      <c r="E206" s="319">
        <f t="shared" si="5"/>
        <v>5810.07</v>
      </c>
      <c r="F206" s="327">
        <v>7.1400000000000005E-2</v>
      </c>
      <c r="G206" s="319">
        <f t="shared" si="6"/>
        <v>5965.3950000000004</v>
      </c>
    </row>
    <row r="207" spans="3:7" x14ac:dyDescent="0.25">
      <c r="C207" s="324" t="s">
        <v>294</v>
      </c>
      <c r="D207" s="327">
        <v>0.1268</v>
      </c>
      <c r="E207" s="319">
        <f t="shared" si="5"/>
        <v>6010.82</v>
      </c>
      <c r="F207" s="327">
        <v>0.1242</v>
      </c>
      <c r="G207" s="319">
        <f t="shared" si="6"/>
        <v>6159.4350000000004</v>
      </c>
    </row>
    <row r="208" spans="3:7" x14ac:dyDescent="0.25">
      <c r="C208" s="324" t="s">
        <v>295</v>
      </c>
      <c r="D208" s="327">
        <v>0.19869999999999999</v>
      </c>
      <c r="E208" s="319">
        <f t="shared" si="5"/>
        <v>6273.2550000000001</v>
      </c>
      <c r="F208" s="327">
        <v>0.18959999999999999</v>
      </c>
      <c r="G208" s="319">
        <f t="shared" si="6"/>
        <v>6399.78</v>
      </c>
    </row>
    <row r="209" spans="3:7" x14ac:dyDescent="0.25">
      <c r="C209" s="324" t="s">
        <v>296</v>
      </c>
      <c r="D209" s="327">
        <v>5.3699999999999998E-2</v>
      </c>
      <c r="E209" s="319">
        <f t="shared" si="5"/>
        <v>5744.0050000000001</v>
      </c>
      <c r="F209" s="327">
        <v>5.3699999999999998E-2</v>
      </c>
      <c r="G209" s="319">
        <f t="shared" si="6"/>
        <v>5900.3474999999999</v>
      </c>
    </row>
    <row r="210" spans="3:7" x14ac:dyDescent="0.25">
      <c r="C210" s="326" t="s">
        <v>297</v>
      </c>
      <c r="D210" s="327">
        <v>0.1275</v>
      </c>
      <c r="E210" s="319">
        <f t="shared" ref="E210:E273" si="7">(D210*$J$20)+$J$19</f>
        <v>6013.375</v>
      </c>
      <c r="F210" s="327">
        <v>0.1275</v>
      </c>
      <c r="G210" s="319">
        <f t="shared" si="6"/>
        <v>6171.5625</v>
      </c>
    </row>
    <row r="211" spans="3:7" x14ac:dyDescent="0.25">
      <c r="C211" s="324" t="s">
        <v>298</v>
      </c>
      <c r="D211" s="327">
        <v>0.20300000000000001</v>
      </c>
      <c r="E211" s="319">
        <f t="shared" si="7"/>
        <v>6288.95</v>
      </c>
      <c r="F211" s="327">
        <v>0.19989999999999999</v>
      </c>
      <c r="G211" s="319">
        <f t="shared" si="6"/>
        <v>6437.6324999999997</v>
      </c>
    </row>
    <row r="212" spans="3:7" x14ac:dyDescent="0.25">
      <c r="C212" s="324" t="s">
        <v>299</v>
      </c>
      <c r="D212" s="327">
        <v>0.24540000000000001</v>
      </c>
      <c r="E212" s="319">
        <f t="shared" si="7"/>
        <v>6443.71</v>
      </c>
      <c r="F212" s="327">
        <v>0.22439999999999999</v>
      </c>
      <c r="G212" s="319">
        <f t="shared" ref="G212:G275" si="8">(F212*$K$20)+$K$19</f>
        <v>6527.67</v>
      </c>
    </row>
    <row r="213" spans="3:7" x14ac:dyDescent="0.25">
      <c r="C213" s="325" t="s">
        <v>300</v>
      </c>
      <c r="D213" s="327">
        <v>0.2036</v>
      </c>
      <c r="E213" s="319">
        <f t="shared" si="7"/>
        <v>6291.14</v>
      </c>
      <c r="F213" s="327">
        <v>0.1804</v>
      </c>
      <c r="G213" s="319">
        <f t="shared" si="8"/>
        <v>6365.97</v>
      </c>
    </row>
    <row r="214" spans="3:7" x14ac:dyDescent="0.25">
      <c r="C214" s="324" t="s">
        <v>301</v>
      </c>
      <c r="D214" s="327">
        <v>0.18440000000000001</v>
      </c>
      <c r="E214" s="319">
        <f t="shared" si="7"/>
        <v>6221.06</v>
      </c>
      <c r="F214" s="327">
        <v>0.1802</v>
      </c>
      <c r="G214" s="319">
        <f t="shared" si="8"/>
        <v>6365.2349999999997</v>
      </c>
    </row>
    <row r="215" spans="3:7" x14ac:dyDescent="0.25">
      <c r="C215" s="324" t="s">
        <v>302</v>
      </c>
      <c r="D215" s="327">
        <v>0.1182</v>
      </c>
      <c r="E215" s="319">
        <f t="shared" si="7"/>
        <v>5979.43</v>
      </c>
      <c r="F215" s="327">
        <v>0.1023</v>
      </c>
      <c r="G215" s="319">
        <f t="shared" si="8"/>
        <v>6078.9525000000003</v>
      </c>
    </row>
    <row r="216" spans="3:7" x14ac:dyDescent="0.25">
      <c r="C216" s="324" t="s">
        <v>303</v>
      </c>
      <c r="D216" s="327">
        <v>0.37419999999999998</v>
      </c>
      <c r="E216" s="319">
        <f t="shared" si="7"/>
        <v>6913.83</v>
      </c>
      <c r="F216" s="327">
        <v>0.34920000000000001</v>
      </c>
      <c r="G216" s="319">
        <f t="shared" si="8"/>
        <v>6986.3099999999995</v>
      </c>
    </row>
    <row r="217" spans="3:7" x14ac:dyDescent="0.25">
      <c r="C217" s="324" t="s">
        <v>304</v>
      </c>
      <c r="D217" s="327">
        <v>0.128</v>
      </c>
      <c r="E217" s="319">
        <f t="shared" si="7"/>
        <v>6015.2</v>
      </c>
      <c r="F217" s="327">
        <v>0.128</v>
      </c>
      <c r="G217" s="319">
        <f t="shared" si="8"/>
        <v>6173.4</v>
      </c>
    </row>
    <row r="218" spans="3:7" x14ac:dyDescent="0.25">
      <c r="C218" s="326" t="s">
        <v>305</v>
      </c>
      <c r="D218" s="327">
        <v>0.39150000000000001</v>
      </c>
      <c r="E218" s="319">
        <f t="shared" si="7"/>
        <v>6976.9750000000004</v>
      </c>
      <c r="F218" s="327">
        <v>0.39150000000000001</v>
      </c>
      <c r="G218" s="319">
        <f t="shared" si="8"/>
        <v>7141.7624999999998</v>
      </c>
    </row>
    <row r="219" spans="3:7" x14ac:dyDescent="0.25">
      <c r="C219" s="324" t="s">
        <v>306</v>
      </c>
      <c r="D219" s="327">
        <v>0.18740000000000001</v>
      </c>
      <c r="E219" s="319">
        <f t="shared" si="7"/>
        <v>6232.01</v>
      </c>
      <c r="F219" s="327">
        <v>0.16239999999999999</v>
      </c>
      <c r="G219" s="319">
        <f t="shared" si="8"/>
        <v>6299.82</v>
      </c>
    </row>
    <row r="220" spans="3:7" x14ac:dyDescent="0.25">
      <c r="C220" s="324" t="s">
        <v>307</v>
      </c>
      <c r="D220" s="327">
        <v>8.6800000000000002E-2</v>
      </c>
      <c r="E220" s="319">
        <f t="shared" si="7"/>
        <v>5864.82</v>
      </c>
      <c r="F220" s="327">
        <v>7.9399999999999998E-2</v>
      </c>
      <c r="G220" s="319">
        <f t="shared" si="8"/>
        <v>5994.7950000000001</v>
      </c>
    </row>
    <row r="221" spans="3:7" x14ac:dyDescent="0.25">
      <c r="C221" s="324" t="s">
        <v>308</v>
      </c>
      <c r="D221" s="327">
        <v>0.15970000000000001</v>
      </c>
      <c r="E221" s="319">
        <f t="shared" si="7"/>
        <v>6130.9049999999997</v>
      </c>
      <c r="F221" s="327">
        <v>0.15970000000000001</v>
      </c>
      <c r="G221" s="319">
        <f t="shared" si="8"/>
        <v>6289.8975</v>
      </c>
    </row>
    <row r="222" spans="3:7" x14ac:dyDescent="0.25">
      <c r="C222" s="324" t="s">
        <v>309</v>
      </c>
      <c r="D222" s="327">
        <v>0.20380000000000001</v>
      </c>
      <c r="E222" s="319">
        <f t="shared" si="7"/>
        <v>6291.87</v>
      </c>
      <c r="F222" s="327">
        <v>0.17879999999999999</v>
      </c>
      <c r="G222" s="319">
        <f t="shared" si="8"/>
        <v>6360.09</v>
      </c>
    </row>
    <row r="223" spans="3:7" x14ac:dyDescent="0.25">
      <c r="C223" s="326" t="s">
        <v>310</v>
      </c>
      <c r="D223" s="327">
        <v>0.54590000000000005</v>
      </c>
      <c r="E223" s="319">
        <f t="shared" si="7"/>
        <v>7540.5349999999999</v>
      </c>
      <c r="F223" s="327">
        <v>0.52090000000000003</v>
      </c>
      <c r="G223" s="319">
        <f t="shared" si="8"/>
        <v>7617.3074999999999</v>
      </c>
    </row>
    <row r="224" spans="3:7" x14ac:dyDescent="0.25">
      <c r="C224" s="326" t="s">
        <v>311</v>
      </c>
      <c r="D224" s="327">
        <v>0.36799999999999999</v>
      </c>
      <c r="E224" s="319">
        <f t="shared" si="7"/>
        <v>6891.2</v>
      </c>
      <c r="F224" s="327">
        <v>0.34300000000000003</v>
      </c>
      <c r="G224" s="319">
        <f t="shared" si="8"/>
        <v>6963.5249999999996</v>
      </c>
    </row>
    <row r="225" spans="3:7" x14ac:dyDescent="0.25">
      <c r="C225" s="324" t="s">
        <v>312</v>
      </c>
      <c r="D225" s="327">
        <v>0.1729</v>
      </c>
      <c r="E225" s="319">
        <f t="shared" si="7"/>
        <v>6179.085</v>
      </c>
      <c r="F225" s="327">
        <v>0.1729</v>
      </c>
      <c r="G225" s="319">
        <f t="shared" si="8"/>
        <v>6338.4075000000003</v>
      </c>
    </row>
    <row r="226" spans="3:7" x14ac:dyDescent="0.25">
      <c r="C226" s="324" t="s">
        <v>313</v>
      </c>
      <c r="D226" s="327">
        <v>0.26750000000000002</v>
      </c>
      <c r="E226" s="319">
        <f t="shared" si="7"/>
        <v>6524.375</v>
      </c>
      <c r="F226" s="327">
        <v>0.2606</v>
      </c>
      <c r="G226" s="319">
        <f t="shared" si="8"/>
        <v>6660.7049999999999</v>
      </c>
    </row>
    <row r="227" spans="3:7" x14ac:dyDescent="0.25">
      <c r="C227" s="324" t="s">
        <v>314</v>
      </c>
      <c r="D227" s="327">
        <v>0.13020000000000001</v>
      </c>
      <c r="E227" s="319">
        <f t="shared" si="7"/>
        <v>6023.23</v>
      </c>
      <c r="F227" s="327">
        <v>0.13020000000000001</v>
      </c>
      <c r="G227" s="319">
        <f t="shared" si="8"/>
        <v>6181.4849999999997</v>
      </c>
    </row>
    <row r="228" spans="3:7" x14ac:dyDescent="0.25">
      <c r="C228" s="324" t="s">
        <v>315</v>
      </c>
      <c r="D228" s="327">
        <v>4.9000000000000002E-2</v>
      </c>
      <c r="E228" s="319">
        <f t="shared" si="7"/>
        <v>5726.85</v>
      </c>
      <c r="F228" s="327">
        <v>4.9000000000000002E-2</v>
      </c>
      <c r="G228" s="319">
        <f t="shared" si="8"/>
        <v>5883.0749999999998</v>
      </c>
    </row>
    <row r="229" spans="3:7" x14ac:dyDescent="0.25">
      <c r="C229" s="324" t="s">
        <v>316</v>
      </c>
      <c r="D229" s="327">
        <v>0.23200000000000001</v>
      </c>
      <c r="E229" s="319">
        <f t="shared" si="7"/>
        <v>6394.8</v>
      </c>
      <c r="F229" s="327">
        <v>0.20699999999999999</v>
      </c>
      <c r="G229" s="319">
        <f t="shared" si="8"/>
        <v>6463.7250000000004</v>
      </c>
    </row>
    <row r="230" spans="3:7" x14ac:dyDescent="0.25">
      <c r="C230" s="324" t="s">
        <v>317</v>
      </c>
      <c r="D230" s="327">
        <v>0.25729999999999997</v>
      </c>
      <c r="E230" s="319">
        <f t="shared" si="7"/>
        <v>6487.1449999999995</v>
      </c>
      <c r="F230" s="327">
        <v>0.2455</v>
      </c>
      <c r="G230" s="319">
        <f t="shared" si="8"/>
        <v>6605.2124999999996</v>
      </c>
    </row>
    <row r="231" spans="3:7" x14ac:dyDescent="0.25">
      <c r="C231" s="324" t="s">
        <v>318</v>
      </c>
      <c r="D231" s="327">
        <v>0.21129999999999999</v>
      </c>
      <c r="E231" s="319">
        <f t="shared" si="7"/>
        <v>6319.2449999999999</v>
      </c>
      <c r="F231" s="327">
        <v>0.1875</v>
      </c>
      <c r="G231" s="319">
        <f t="shared" si="8"/>
        <v>6392.0625</v>
      </c>
    </row>
    <row r="232" spans="3:7" x14ac:dyDescent="0.25">
      <c r="C232" s="324" t="s">
        <v>319</v>
      </c>
      <c r="D232" s="327">
        <v>0.16039999999999999</v>
      </c>
      <c r="E232" s="319">
        <f t="shared" si="7"/>
        <v>6133.46</v>
      </c>
      <c r="F232" s="327">
        <v>0.13539999999999999</v>
      </c>
      <c r="G232" s="319">
        <f t="shared" si="8"/>
        <v>6200.5950000000003</v>
      </c>
    </row>
    <row r="233" spans="3:7" x14ac:dyDescent="0.25">
      <c r="C233" s="324" t="s">
        <v>320</v>
      </c>
      <c r="D233" s="327">
        <v>0.113</v>
      </c>
      <c r="E233" s="319">
        <f t="shared" si="7"/>
        <v>5960.45</v>
      </c>
      <c r="F233" s="327">
        <v>0.113</v>
      </c>
      <c r="G233" s="319">
        <f t="shared" si="8"/>
        <v>6118.2749999999996</v>
      </c>
    </row>
    <row r="234" spans="3:7" x14ac:dyDescent="0.25">
      <c r="C234" s="324" t="s">
        <v>321</v>
      </c>
      <c r="D234" s="327">
        <v>0.18540000000000001</v>
      </c>
      <c r="E234" s="319">
        <f t="shared" si="7"/>
        <v>6224.71</v>
      </c>
      <c r="F234" s="327">
        <v>0.17460000000000001</v>
      </c>
      <c r="G234" s="319">
        <f t="shared" si="8"/>
        <v>6344.6549999999997</v>
      </c>
    </row>
    <row r="235" spans="3:7" x14ac:dyDescent="0.25">
      <c r="C235" s="324" t="s">
        <v>322</v>
      </c>
      <c r="D235" s="327">
        <v>0.1333</v>
      </c>
      <c r="E235" s="319">
        <f t="shared" si="7"/>
        <v>6034.5450000000001</v>
      </c>
      <c r="F235" s="327">
        <v>0.1333</v>
      </c>
      <c r="G235" s="319">
        <f t="shared" si="8"/>
        <v>6192.8774999999996</v>
      </c>
    </row>
    <row r="236" spans="3:7" x14ac:dyDescent="0.25">
      <c r="C236" s="324" t="s">
        <v>323</v>
      </c>
      <c r="D236" s="327">
        <v>0.11260000000000001</v>
      </c>
      <c r="E236" s="319">
        <f t="shared" si="7"/>
        <v>5958.99</v>
      </c>
      <c r="F236" s="327">
        <v>0.11260000000000001</v>
      </c>
      <c r="G236" s="319">
        <f t="shared" si="8"/>
        <v>6116.8050000000003</v>
      </c>
    </row>
    <row r="237" spans="3:7" x14ac:dyDescent="0.25">
      <c r="C237" s="324" t="s">
        <v>324</v>
      </c>
      <c r="D237" s="327">
        <v>0.19339999999999999</v>
      </c>
      <c r="E237" s="319">
        <f t="shared" si="7"/>
        <v>6253.91</v>
      </c>
      <c r="F237" s="327">
        <v>0.18629999999999999</v>
      </c>
      <c r="G237" s="319">
        <f t="shared" si="8"/>
        <v>6387.6525000000001</v>
      </c>
    </row>
    <row r="238" spans="3:7" x14ac:dyDescent="0.25">
      <c r="C238" s="324" t="s">
        <v>325</v>
      </c>
      <c r="D238" s="327">
        <v>6.3200000000000006E-2</v>
      </c>
      <c r="E238" s="319">
        <f t="shared" si="7"/>
        <v>5778.68</v>
      </c>
      <c r="F238" s="327">
        <v>6.3200000000000006E-2</v>
      </c>
      <c r="G238" s="319">
        <f t="shared" si="8"/>
        <v>5935.26</v>
      </c>
    </row>
    <row r="239" spans="3:7" x14ac:dyDescent="0.25">
      <c r="C239" s="324" t="s">
        <v>326</v>
      </c>
      <c r="D239" s="327">
        <v>0.1363</v>
      </c>
      <c r="E239" s="319">
        <f t="shared" si="7"/>
        <v>6045.4949999999999</v>
      </c>
      <c r="F239" s="327">
        <v>0.1361</v>
      </c>
      <c r="G239" s="319">
        <f t="shared" si="8"/>
        <v>6203.1674999999996</v>
      </c>
    </row>
    <row r="240" spans="3:7" x14ac:dyDescent="0.25">
      <c r="C240" s="324" t="s">
        <v>327</v>
      </c>
      <c r="D240" s="327">
        <v>0.36109999999999998</v>
      </c>
      <c r="E240" s="319">
        <f t="shared" si="7"/>
        <v>6866.0149999999994</v>
      </c>
      <c r="F240" s="327">
        <v>0.34250000000000003</v>
      </c>
      <c r="G240" s="319">
        <f t="shared" si="8"/>
        <v>6961.6875</v>
      </c>
    </row>
    <row r="241" spans="3:7" x14ac:dyDescent="0.25">
      <c r="C241" s="325" t="s">
        <v>328</v>
      </c>
      <c r="D241" s="327">
        <v>8.7999999999999995E-2</v>
      </c>
      <c r="E241" s="319">
        <f t="shared" si="7"/>
        <v>5869.2</v>
      </c>
      <c r="F241" s="327">
        <v>8.7999999999999995E-2</v>
      </c>
      <c r="G241" s="319">
        <f t="shared" si="8"/>
        <v>6026.4</v>
      </c>
    </row>
    <row r="242" spans="3:7" x14ac:dyDescent="0.25">
      <c r="C242" s="324" t="s">
        <v>329</v>
      </c>
      <c r="D242" s="327">
        <v>0.19040000000000001</v>
      </c>
      <c r="E242" s="319">
        <f t="shared" si="7"/>
        <v>6242.96</v>
      </c>
      <c r="F242" s="327">
        <v>0.19040000000000001</v>
      </c>
      <c r="G242" s="319">
        <f t="shared" si="8"/>
        <v>6402.72</v>
      </c>
    </row>
    <row r="243" spans="3:7" x14ac:dyDescent="0.25">
      <c r="C243" s="324" t="s">
        <v>330</v>
      </c>
      <c r="D243" s="327">
        <v>8.2600000000000007E-2</v>
      </c>
      <c r="E243" s="319">
        <f t="shared" si="7"/>
        <v>5849.49</v>
      </c>
      <c r="F243" s="327">
        <v>8.2600000000000007E-2</v>
      </c>
      <c r="G243" s="319">
        <f t="shared" si="8"/>
        <v>6006.5550000000003</v>
      </c>
    </row>
    <row r="244" spans="3:7" x14ac:dyDescent="0.25">
      <c r="C244" s="324" t="s">
        <v>331</v>
      </c>
      <c r="D244" s="327">
        <v>0.15629999999999999</v>
      </c>
      <c r="E244" s="319">
        <f t="shared" si="7"/>
        <v>6118.4949999999999</v>
      </c>
      <c r="F244" s="327">
        <v>0.15210000000000001</v>
      </c>
      <c r="G244" s="319">
        <f t="shared" si="8"/>
        <v>6261.9674999999997</v>
      </c>
    </row>
    <row r="245" spans="3:7" x14ac:dyDescent="0.25">
      <c r="C245" s="324" t="s">
        <v>332</v>
      </c>
      <c r="D245" s="327">
        <v>0.14799999999999999</v>
      </c>
      <c r="E245" s="319">
        <f t="shared" si="7"/>
        <v>6088.2</v>
      </c>
      <c r="F245" s="327">
        <v>0.14799999999999999</v>
      </c>
      <c r="G245" s="319">
        <f t="shared" si="8"/>
        <v>6246.9</v>
      </c>
    </row>
    <row r="246" spans="3:7" x14ac:dyDescent="0.25">
      <c r="C246" s="324" t="s">
        <v>333</v>
      </c>
      <c r="D246" s="327">
        <v>9.8500000000000004E-2</v>
      </c>
      <c r="E246" s="319">
        <f t="shared" si="7"/>
        <v>5907.5249999999996</v>
      </c>
      <c r="F246" s="327">
        <v>9.8500000000000004E-2</v>
      </c>
      <c r="G246" s="319">
        <f t="shared" si="8"/>
        <v>6064.9875000000002</v>
      </c>
    </row>
    <row r="247" spans="3:7" x14ac:dyDescent="0.25">
      <c r="C247" s="324" t="s">
        <v>334</v>
      </c>
      <c r="D247" s="327">
        <v>9.1200000000000003E-2</v>
      </c>
      <c r="E247" s="319">
        <f t="shared" si="7"/>
        <v>5880.88</v>
      </c>
      <c r="F247" s="327">
        <v>9.1200000000000003E-2</v>
      </c>
      <c r="G247" s="319">
        <f t="shared" si="8"/>
        <v>6038.16</v>
      </c>
    </row>
    <row r="248" spans="3:7" x14ac:dyDescent="0.25">
      <c r="C248" s="324" t="s">
        <v>335</v>
      </c>
      <c r="D248" s="327">
        <v>0.122</v>
      </c>
      <c r="E248" s="319">
        <f t="shared" si="7"/>
        <v>5993.3</v>
      </c>
      <c r="F248" s="327">
        <v>0.1057</v>
      </c>
      <c r="G248" s="319">
        <f t="shared" si="8"/>
        <v>6091.4475000000002</v>
      </c>
    </row>
    <row r="249" spans="3:7" x14ac:dyDescent="0.25">
      <c r="C249" s="324" t="s">
        <v>336</v>
      </c>
      <c r="D249" s="327">
        <v>0.21840000000000001</v>
      </c>
      <c r="E249" s="319">
        <f t="shared" si="7"/>
        <v>6345.16</v>
      </c>
      <c r="F249" s="327">
        <v>0.21840000000000001</v>
      </c>
      <c r="G249" s="319">
        <f t="shared" si="8"/>
        <v>6505.62</v>
      </c>
    </row>
    <row r="250" spans="3:7" x14ac:dyDescent="0.25">
      <c r="C250" s="324" t="s">
        <v>337</v>
      </c>
      <c r="D250" s="327">
        <v>0.12089999999999999</v>
      </c>
      <c r="E250" s="319">
        <f t="shared" si="7"/>
        <v>5989.2849999999999</v>
      </c>
      <c r="F250" s="327">
        <v>0.109</v>
      </c>
      <c r="G250" s="319">
        <f t="shared" si="8"/>
        <v>6103.5749999999998</v>
      </c>
    </row>
    <row r="251" spans="3:7" x14ac:dyDescent="0.25">
      <c r="C251" s="324" t="s">
        <v>338</v>
      </c>
      <c r="D251" s="327">
        <v>0.2195</v>
      </c>
      <c r="E251" s="319">
        <f t="shared" si="7"/>
        <v>6349.1750000000002</v>
      </c>
      <c r="F251" s="327">
        <v>0.2152</v>
      </c>
      <c r="G251" s="319">
        <f t="shared" si="8"/>
        <v>6493.86</v>
      </c>
    </row>
    <row r="252" spans="3:7" x14ac:dyDescent="0.25">
      <c r="C252" s="324" t="s">
        <v>339</v>
      </c>
      <c r="D252" s="327">
        <v>0.16309999999999999</v>
      </c>
      <c r="E252" s="319">
        <f t="shared" si="7"/>
        <v>6143.3149999999996</v>
      </c>
      <c r="F252" s="327">
        <v>0.15759999999999999</v>
      </c>
      <c r="G252" s="319">
        <f t="shared" si="8"/>
        <v>6282.18</v>
      </c>
    </row>
    <row r="253" spans="3:7" x14ac:dyDescent="0.25">
      <c r="C253" s="324" t="s">
        <v>340</v>
      </c>
      <c r="D253" s="327">
        <v>0.2248</v>
      </c>
      <c r="E253" s="319">
        <f t="shared" si="7"/>
        <v>6368.52</v>
      </c>
      <c r="F253" s="327">
        <v>0.2248</v>
      </c>
      <c r="G253" s="319">
        <f t="shared" si="8"/>
        <v>6529.14</v>
      </c>
    </row>
    <row r="254" spans="3:7" x14ac:dyDescent="0.25">
      <c r="C254" s="324" t="s">
        <v>341</v>
      </c>
      <c r="D254" s="327">
        <v>3.5200000000000002E-2</v>
      </c>
      <c r="E254" s="319">
        <f t="shared" si="7"/>
        <v>5676.48</v>
      </c>
      <c r="F254" s="327">
        <v>3.5200000000000002E-2</v>
      </c>
      <c r="G254" s="319">
        <f t="shared" si="8"/>
        <v>5832.36</v>
      </c>
    </row>
    <row r="255" spans="3:7" x14ac:dyDescent="0.25">
      <c r="C255" s="324" t="s">
        <v>342</v>
      </c>
      <c r="D255" s="327">
        <v>0.2092</v>
      </c>
      <c r="E255" s="319">
        <f t="shared" si="7"/>
        <v>6311.58</v>
      </c>
      <c r="F255" s="327">
        <v>0.1842</v>
      </c>
      <c r="G255" s="319">
        <f t="shared" si="8"/>
        <v>6379.9350000000004</v>
      </c>
    </row>
    <row r="256" spans="3:7" x14ac:dyDescent="0.25">
      <c r="C256" s="324" t="s">
        <v>343</v>
      </c>
      <c r="D256" s="327">
        <v>6.3799999999999996E-2</v>
      </c>
      <c r="E256" s="319">
        <f t="shared" si="7"/>
        <v>5780.87</v>
      </c>
      <c r="F256" s="327">
        <v>6.3799999999999996E-2</v>
      </c>
      <c r="G256" s="319">
        <f t="shared" si="8"/>
        <v>5937.4650000000001</v>
      </c>
    </row>
    <row r="257" spans="3:7" x14ac:dyDescent="0.25">
      <c r="C257" s="324" t="s">
        <v>344</v>
      </c>
      <c r="D257" s="327">
        <v>0.10489999999999999</v>
      </c>
      <c r="E257" s="319">
        <f t="shared" si="7"/>
        <v>5930.8850000000002</v>
      </c>
      <c r="F257" s="327">
        <v>7.9899999999999999E-2</v>
      </c>
      <c r="G257" s="319">
        <f t="shared" si="8"/>
        <v>5996.6324999999997</v>
      </c>
    </row>
    <row r="258" spans="3:7" x14ac:dyDescent="0.25">
      <c r="C258" s="324" t="s">
        <v>345</v>
      </c>
      <c r="D258" s="327">
        <v>9.0399999999999994E-2</v>
      </c>
      <c r="E258" s="319">
        <f t="shared" si="7"/>
        <v>5877.96</v>
      </c>
      <c r="F258" s="327">
        <v>8.1799999999999998E-2</v>
      </c>
      <c r="G258" s="319">
        <f t="shared" si="8"/>
        <v>6003.6149999999998</v>
      </c>
    </row>
    <row r="259" spans="3:7" x14ac:dyDescent="0.25">
      <c r="C259" s="324" t="s">
        <v>346</v>
      </c>
      <c r="D259" s="327">
        <v>0.25130000000000002</v>
      </c>
      <c r="E259" s="319">
        <f t="shared" si="7"/>
        <v>6465.2449999999999</v>
      </c>
      <c r="F259" s="327">
        <v>0.23330000000000001</v>
      </c>
      <c r="G259" s="319">
        <f t="shared" si="8"/>
        <v>6560.3775000000005</v>
      </c>
    </row>
    <row r="260" spans="3:7" x14ac:dyDescent="0.25">
      <c r="C260" s="324" t="s">
        <v>347</v>
      </c>
      <c r="D260" s="327">
        <v>0.1797</v>
      </c>
      <c r="E260" s="319">
        <f t="shared" si="7"/>
        <v>6203.9049999999997</v>
      </c>
      <c r="F260" s="327">
        <v>0.1797</v>
      </c>
      <c r="G260" s="319">
        <f t="shared" si="8"/>
        <v>6363.3975</v>
      </c>
    </row>
    <row r="261" spans="3:7" x14ac:dyDescent="0.25">
      <c r="C261" s="325" t="s">
        <v>348</v>
      </c>
      <c r="D261" s="327">
        <v>0.10929999999999999</v>
      </c>
      <c r="E261" s="319">
        <f t="shared" si="7"/>
        <v>5946.9449999999997</v>
      </c>
      <c r="F261" s="327">
        <v>0.1043</v>
      </c>
      <c r="G261" s="319">
        <f t="shared" si="8"/>
        <v>6086.3024999999998</v>
      </c>
    </row>
    <row r="262" spans="3:7" x14ac:dyDescent="0.25">
      <c r="C262" s="324" t="s">
        <v>349</v>
      </c>
      <c r="D262" s="327">
        <v>0.22539999999999999</v>
      </c>
      <c r="E262" s="319">
        <f t="shared" si="7"/>
        <v>6370.71</v>
      </c>
      <c r="F262" s="327">
        <v>0.20039999999999999</v>
      </c>
      <c r="G262" s="319">
        <f t="shared" si="8"/>
        <v>6439.47</v>
      </c>
    </row>
    <row r="263" spans="3:7" x14ac:dyDescent="0.25">
      <c r="C263" s="324" t="s">
        <v>350</v>
      </c>
      <c r="D263" s="327">
        <v>0.2029</v>
      </c>
      <c r="E263" s="319">
        <f t="shared" si="7"/>
        <v>6288.585</v>
      </c>
      <c r="F263" s="327">
        <v>0.1779</v>
      </c>
      <c r="G263" s="319">
        <f t="shared" si="8"/>
        <v>6356.7825000000003</v>
      </c>
    </row>
    <row r="264" spans="3:7" x14ac:dyDescent="0.25">
      <c r="C264" s="325" t="s">
        <v>351</v>
      </c>
      <c r="D264" s="327">
        <v>0.18770000000000001</v>
      </c>
      <c r="E264" s="319">
        <f t="shared" si="7"/>
        <v>6233.1049999999996</v>
      </c>
      <c r="F264" s="327">
        <v>0.16270000000000001</v>
      </c>
      <c r="G264" s="319">
        <f t="shared" si="8"/>
        <v>6300.9224999999997</v>
      </c>
    </row>
    <row r="265" spans="3:7" x14ac:dyDescent="0.25">
      <c r="C265" s="324" t="s">
        <v>352</v>
      </c>
      <c r="D265" s="327">
        <v>5.3199999999999997E-2</v>
      </c>
      <c r="E265" s="319">
        <f t="shared" si="7"/>
        <v>5742.18</v>
      </c>
      <c r="F265" s="327">
        <v>5.3199999999999997E-2</v>
      </c>
      <c r="G265" s="319">
        <f t="shared" si="8"/>
        <v>5898.51</v>
      </c>
    </row>
    <row r="266" spans="3:7" x14ac:dyDescent="0.25">
      <c r="C266" s="324" t="s">
        <v>353</v>
      </c>
      <c r="D266" s="327">
        <v>0.2069</v>
      </c>
      <c r="E266" s="319">
        <f t="shared" si="7"/>
        <v>6303.1849999999995</v>
      </c>
      <c r="F266" s="327">
        <v>0.2044</v>
      </c>
      <c r="G266" s="319">
        <f t="shared" si="8"/>
        <v>6454.17</v>
      </c>
    </row>
    <row r="267" spans="3:7" x14ac:dyDescent="0.25">
      <c r="C267" s="324" t="s">
        <v>354</v>
      </c>
      <c r="D267" s="327">
        <v>0.27800000000000002</v>
      </c>
      <c r="E267" s="319">
        <f t="shared" si="7"/>
        <v>6562.7</v>
      </c>
      <c r="F267" s="327">
        <v>0.27800000000000002</v>
      </c>
      <c r="G267" s="319">
        <f t="shared" si="8"/>
        <v>6724.65</v>
      </c>
    </row>
    <row r="268" spans="3:7" x14ac:dyDescent="0.25">
      <c r="C268" s="324" t="s">
        <v>355</v>
      </c>
      <c r="D268" s="327">
        <v>0.17230000000000001</v>
      </c>
      <c r="E268" s="319">
        <f t="shared" si="7"/>
        <v>6176.8950000000004</v>
      </c>
      <c r="F268" s="327">
        <v>0.17230000000000001</v>
      </c>
      <c r="G268" s="319">
        <f t="shared" si="8"/>
        <v>6336.2025000000003</v>
      </c>
    </row>
    <row r="269" spans="3:7" x14ac:dyDescent="0.25">
      <c r="C269" s="324" t="s">
        <v>356</v>
      </c>
      <c r="D269" s="327">
        <v>0.1004</v>
      </c>
      <c r="E269" s="319">
        <f t="shared" si="7"/>
        <v>5914.46</v>
      </c>
      <c r="F269" s="327">
        <v>0.1004</v>
      </c>
      <c r="G269" s="319">
        <f t="shared" si="8"/>
        <v>6071.97</v>
      </c>
    </row>
    <row r="270" spans="3:7" x14ac:dyDescent="0.25">
      <c r="C270" s="324" t="s">
        <v>357</v>
      </c>
      <c r="D270" s="327">
        <v>0.13519999999999999</v>
      </c>
      <c r="E270" s="319">
        <f t="shared" si="7"/>
        <v>6041.48</v>
      </c>
      <c r="F270" s="327">
        <v>0.13519999999999999</v>
      </c>
      <c r="G270" s="319">
        <f t="shared" si="8"/>
        <v>6199.86</v>
      </c>
    </row>
    <row r="271" spans="3:7" x14ac:dyDescent="0.25">
      <c r="C271" s="324" t="s">
        <v>358</v>
      </c>
      <c r="D271" s="327">
        <v>0.1113</v>
      </c>
      <c r="E271" s="319">
        <f t="shared" si="7"/>
        <v>5954.2449999999999</v>
      </c>
      <c r="F271" s="327">
        <v>9.4200000000000006E-2</v>
      </c>
      <c r="G271" s="319">
        <f t="shared" si="8"/>
        <v>6049.1850000000004</v>
      </c>
    </row>
    <row r="272" spans="3:7" x14ac:dyDescent="0.25">
      <c r="C272" s="324" t="s">
        <v>359</v>
      </c>
      <c r="D272" s="327">
        <v>0.1128</v>
      </c>
      <c r="E272" s="319">
        <f t="shared" si="7"/>
        <v>5959.72</v>
      </c>
      <c r="F272" s="327">
        <v>0.1128</v>
      </c>
      <c r="G272" s="319">
        <f t="shared" si="8"/>
        <v>6117.54</v>
      </c>
    </row>
    <row r="273" spans="3:7" x14ac:dyDescent="0.25">
      <c r="C273" s="324" t="s">
        <v>360</v>
      </c>
      <c r="D273" s="327">
        <v>0.13489999999999999</v>
      </c>
      <c r="E273" s="319">
        <f t="shared" si="7"/>
        <v>6040.3850000000002</v>
      </c>
      <c r="F273" s="327">
        <v>0.1099</v>
      </c>
      <c r="G273" s="319">
        <f t="shared" si="8"/>
        <v>6106.8824999999997</v>
      </c>
    </row>
    <row r="274" spans="3:7" x14ac:dyDescent="0.25">
      <c r="C274" s="326" t="s">
        <v>361</v>
      </c>
      <c r="D274" s="327">
        <v>9.3299999999999994E-2</v>
      </c>
      <c r="E274" s="319">
        <f t="shared" ref="E274:E307" si="9">(D274*$J$20)+$J$19</f>
        <v>5888.5450000000001</v>
      </c>
      <c r="F274" s="327">
        <v>9.3299999999999994E-2</v>
      </c>
      <c r="G274" s="319">
        <f t="shared" si="8"/>
        <v>6045.8774999999996</v>
      </c>
    </row>
    <row r="275" spans="3:7" x14ac:dyDescent="0.25">
      <c r="C275" s="325" t="s">
        <v>362</v>
      </c>
      <c r="D275" s="327">
        <v>0.12640000000000001</v>
      </c>
      <c r="E275" s="319">
        <f t="shared" si="9"/>
        <v>6009.36</v>
      </c>
      <c r="F275" s="327">
        <v>0.1166</v>
      </c>
      <c r="G275" s="319">
        <f t="shared" si="8"/>
        <v>6131.5050000000001</v>
      </c>
    </row>
    <row r="276" spans="3:7" x14ac:dyDescent="0.25">
      <c r="C276" s="325" t="s">
        <v>363</v>
      </c>
      <c r="D276" s="327">
        <v>0.1452</v>
      </c>
      <c r="E276" s="319">
        <f t="shared" si="9"/>
        <v>6077.98</v>
      </c>
      <c r="F276" s="327">
        <v>0.1452</v>
      </c>
      <c r="G276" s="319">
        <f t="shared" ref="G276:G307" si="10">(F276*$K$20)+$K$19</f>
        <v>6236.61</v>
      </c>
    </row>
    <row r="277" spans="3:7" x14ac:dyDescent="0.25">
      <c r="C277" s="324" t="s">
        <v>364</v>
      </c>
      <c r="D277" s="327">
        <v>0.1346</v>
      </c>
      <c r="E277" s="319">
        <f t="shared" si="9"/>
        <v>6039.29</v>
      </c>
      <c r="F277" s="327">
        <v>0.1346</v>
      </c>
      <c r="G277" s="319">
        <f t="shared" si="10"/>
        <v>6197.6549999999997</v>
      </c>
    </row>
    <row r="278" spans="3:7" x14ac:dyDescent="0.25">
      <c r="C278" s="324" t="s">
        <v>365</v>
      </c>
      <c r="D278" s="327">
        <v>0.12640000000000001</v>
      </c>
      <c r="E278" s="319">
        <f t="shared" si="9"/>
        <v>6009.36</v>
      </c>
      <c r="F278" s="327">
        <v>0.1198</v>
      </c>
      <c r="G278" s="319">
        <f t="shared" si="10"/>
        <v>6143.2650000000003</v>
      </c>
    </row>
    <row r="279" spans="3:7" x14ac:dyDescent="0.25">
      <c r="C279" s="324" t="s">
        <v>366</v>
      </c>
      <c r="D279" s="327">
        <v>0.34260000000000002</v>
      </c>
      <c r="E279" s="319">
        <f t="shared" si="9"/>
        <v>6798.49</v>
      </c>
      <c r="F279" s="327">
        <v>0.34260000000000002</v>
      </c>
      <c r="G279" s="319">
        <f t="shared" si="10"/>
        <v>6962.0550000000003</v>
      </c>
    </row>
    <row r="280" spans="3:7" x14ac:dyDescent="0.25">
      <c r="C280" s="324" t="s">
        <v>367</v>
      </c>
      <c r="D280" s="327">
        <v>7.6700000000000004E-2</v>
      </c>
      <c r="E280" s="319">
        <f t="shared" si="9"/>
        <v>5827.9549999999999</v>
      </c>
      <c r="F280" s="327">
        <v>7.4399999999999994E-2</v>
      </c>
      <c r="G280" s="319">
        <f t="shared" si="10"/>
        <v>5976.42</v>
      </c>
    </row>
    <row r="281" spans="3:7" x14ac:dyDescent="0.25">
      <c r="C281" s="324" t="s">
        <v>368</v>
      </c>
      <c r="D281" s="327">
        <v>0.1547</v>
      </c>
      <c r="E281" s="319">
        <f t="shared" si="9"/>
        <v>6112.6549999999997</v>
      </c>
      <c r="F281" s="327">
        <v>0.13489999999999999</v>
      </c>
      <c r="G281" s="319">
        <f t="shared" si="10"/>
        <v>6198.7574999999997</v>
      </c>
    </row>
    <row r="282" spans="3:7" x14ac:dyDescent="0.25">
      <c r="C282" s="324" t="s">
        <v>369</v>
      </c>
      <c r="D282" s="327">
        <v>8.43E-2</v>
      </c>
      <c r="E282" s="319">
        <f t="shared" si="9"/>
        <v>5855.6949999999997</v>
      </c>
      <c r="F282" s="327">
        <v>8.43E-2</v>
      </c>
      <c r="G282" s="319">
        <f t="shared" si="10"/>
        <v>6012.8024999999998</v>
      </c>
    </row>
    <row r="283" spans="3:7" x14ac:dyDescent="0.25">
      <c r="C283" s="324" t="s">
        <v>370</v>
      </c>
      <c r="D283" s="327">
        <v>0.2636</v>
      </c>
      <c r="E283" s="319">
        <f t="shared" si="9"/>
        <v>6510.14</v>
      </c>
      <c r="F283" s="327">
        <v>0.2636</v>
      </c>
      <c r="G283" s="319">
        <f t="shared" si="10"/>
        <v>6671.73</v>
      </c>
    </row>
    <row r="284" spans="3:7" x14ac:dyDescent="0.25">
      <c r="C284" s="324" t="s">
        <v>371</v>
      </c>
      <c r="D284" s="327">
        <v>0.28620000000000001</v>
      </c>
      <c r="E284" s="319">
        <f t="shared" si="9"/>
        <v>6592.63</v>
      </c>
      <c r="F284" s="327">
        <v>0.26629999999999998</v>
      </c>
      <c r="G284" s="319">
        <f t="shared" si="10"/>
        <v>6681.6525000000001</v>
      </c>
    </row>
    <row r="285" spans="3:7" x14ac:dyDescent="0.25">
      <c r="C285" s="324" t="s">
        <v>372</v>
      </c>
      <c r="D285" s="327">
        <v>0.22309999999999999</v>
      </c>
      <c r="E285" s="319">
        <f t="shared" si="9"/>
        <v>6362.3149999999996</v>
      </c>
      <c r="F285" s="327">
        <v>0.22059999999999999</v>
      </c>
      <c r="G285" s="319">
        <f t="shared" si="10"/>
        <v>6513.7049999999999</v>
      </c>
    </row>
    <row r="286" spans="3:7" x14ac:dyDescent="0.25">
      <c r="C286" s="324" t="s">
        <v>373</v>
      </c>
      <c r="D286" s="327">
        <v>6.54E-2</v>
      </c>
      <c r="E286" s="319">
        <f t="shared" si="9"/>
        <v>5786.71</v>
      </c>
      <c r="F286" s="327">
        <v>6.54E-2</v>
      </c>
      <c r="G286" s="319">
        <f t="shared" si="10"/>
        <v>5943.3450000000003</v>
      </c>
    </row>
    <row r="287" spans="3:7" x14ac:dyDescent="0.25">
      <c r="C287" s="324" t="s">
        <v>374</v>
      </c>
      <c r="D287" s="327">
        <v>8.7900000000000006E-2</v>
      </c>
      <c r="E287" s="319">
        <f t="shared" si="9"/>
        <v>5868.835</v>
      </c>
      <c r="F287" s="327">
        <v>8.7900000000000006E-2</v>
      </c>
      <c r="G287" s="319">
        <f t="shared" si="10"/>
        <v>6026.0325000000003</v>
      </c>
    </row>
    <row r="288" spans="3:7" x14ac:dyDescent="0.25">
      <c r="C288" s="324" t="s">
        <v>375</v>
      </c>
      <c r="D288" s="327">
        <v>0.12820000000000001</v>
      </c>
      <c r="E288" s="319">
        <f t="shared" si="9"/>
        <v>6015.93</v>
      </c>
      <c r="F288" s="327">
        <v>0.1145</v>
      </c>
      <c r="G288" s="319">
        <f t="shared" si="10"/>
        <v>6123.7875000000004</v>
      </c>
    </row>
    <row r="289" spans="3:7" x14ac:dyDescent="0.25">
      <c r="C289" s="324" t="s">
        <v>376</v>
      </c>
      <c r="D289" s="327">
        <v>0.2432</v>
      </c>
      <c r="E289" s="319">
        <f t="shared" si="9"/>
        <v>6435.68</v>
      </c>
      <c r="F289" s="327">
        <v>0.23200000000000001</v>
      </c>
      <c r="G289" s="319">
        <f t="shared" si="10"/>
        <v>6555.6</v>
      </c>
    </row>
    <row r="290" spans="3:7" x14ac:dyDescent="0.25">
      <c r="C290" s="324" t="s">
        <v>377</v>
      </c>
      <c r="D290" s="327">
        <v>0.1241</v>
      </c>
      <c r="E290" s="319">
        <f t="shared" si="9"/>
        <v>6000.9650000000001</v>
      </c>
      <c r="F290" s="327">
        <v>0.10340000000000001</v>
      </c>
      <c r="G290" s="319">
        <f t="shared" si="10"/>
        <v>6082.9949999999999</v>
      </c>
    </row>
    <row r="291" spans="3:7" x14ac:dyDescent="0.25">
      <c r="C291" s="324" t="s">
        <v>378</v>
      </c>
      <c r="D291" s="327">
        <v>0.19209999999999999</v>
      </c>
      <c r="E291" s="319">
        <f t="shared" si="9"/>
        <v>6249.165</v>
      </c>
      <c r="F291" s="327">
        <v>0.19209999999999999</v>
      </c>
      <c r="G291" s="319">
        <f t="shared" si="10"/>
        <v>6408.9674999999997</v>
      </c>
    </row>
    <row r="292" spans="3:7" x14ac:dyDescent="0.25">
      <c r="C292" s="325" t="s">
        <v>379</v>
      </c>
      <c r="D292" s="327">
        <v>0.1706</v>
      </c>
      <c r="E292" s="319">
        <f t="shared" si="9"/>
        <v>6170.6900000000005</v>
      </c>
      <c r="F292" s="327">
        <v>0.14910000000000001</v>
      </c>
      <c r="G292" s="319">
        <f t="shared" si="10"/>
        <v>6250.9425000000001</v>
      </c>
    </row>
    <row r="293" spans="3:7" x14ac:dyDescent="0.25">
      <c r="C293" s="324" t="s">
        <v>380</v>
      </c>
      <c r="D293" s="327">
        <v>7.4700000000000003E-2</v>
      </c>
      <c r="E293" s="319">
        <f t="shared" si="9"/>
        <v>5820.6549999999997</v>
      </c>
      <c r="F293" s="327">
        <v>7.4700000000000003E-2</v>
      </c>
      <c r="G293" s="319">
        <f t="shared" si="10"/>
        <v>5977.5225</v>
      </c>
    </row>
    <row r="294" spans="3:7" x14ac:dyDescent="0.25">
      <c r="C294" s="324" t="s">
        <v>381</v>
      </c>
      <c r="D294" s="327">
        <v>5.8599999999999999E-2</v>
      </c>
      <c r="E294" s="319">
        <f t="shared" si="9"/>
        <v>5761.89</v>
      </c>
      <c r="F294" s="327">
        <v>5.8599999999999999E-2</v>
      </c>
      <c r="G294" s="319">
        <f t="shared" si="10"/>
        <v>5918.3549999999996</v>
      </c>
    </row>
    <row r="295" spans="3:7" x14ac:dyDescent="0.25">
      <c r="C295" s="324" t="s">
        <v>382</v>
      </c>
      <c r="D295" s="327">
        <v>0.1201</v>
      </c>
      <c r="E295" s="319">
        <f t="shared" si="9"/>
        <v>5986.3649999999998</v>
      </c>
      <c r="F295" s="327">
        <v>9.5100000000000004E-2</v>
      </c>
      <c r="G295" s="319">
        <f t="shared" si="10"/>
        <v>6052.4925000000003</v>
      </c>
    </row>
    <row r="296" spans="3:7" x14ac:dyDescent="0.25">
      <c r="C296" s="324" t="s">
        <v>383</v>
      </c>
      <c r="D296" s="327">
        <v>0.20050000000000001</v>
      </c>
      <c r="E296" s="319">
        <f t="shared" si="9"/>
        <v>6279.8249999999998</v>
      </c>
      <c r="F296" s="327">
        <v>0.19339999999999999</v>
      </c>
      <c r="G296" s="319">
        <f t="shared" si="10"/>
        <v>6413.7449999999999</v>
      </c>
    </row>
    <row r="297" spans="3:7" x14ac:dyDescent="0.25">
      <c r="C297" s="324" t="s">
        <v>384</v>
      </c>
      <c r="D297" s="327">
        <v>9.1899999999999996E-2</v>
      </c>
      <c r="E297" s="319">
        <f t="shared" si="9"/>
        <v>5883.4350000000004</v>
      </c>
      <c r="F297" s="327">
        <v>8.7499999999999994E-2</v>
      </c>
      <c r="G297" s="319">
        <f t="shared" si="10"/>
        <v>6024.5625</v>
      </c>
    </row>
    <row r="298" spans="3:7" x14ac:dyDescent="0.25">
      <c r="C298" s="324" t="s">
        <v>385</v>
      </c>
      <c r="D298" s="327">
        <v>0.1244</v>
      </c>
      <c r="E298" s="319">
        <f t="shared" si="9"/>
        <v>6002.06</v>
      </c>
      <c r="F298" s="327">
        <v>0.1244</v>
      </c>
      <c r="G298" s="319">
        <f t="shared" si="10"/>
        <v>6160.17</v>
      </c>
    </row>
    <row r="299" spans="3:7" x14ac:dyDescent="0.25">
      <c r="C299" s="324" t="s">
        <v>386</v>
      </c>
      <c r="D299" s="327">
        <v>0.16750000000000001</v>
      </c>
      <c r="E299" s="319">
        <f t="shared" si="9"/>
        <v>6159.375</v>
      </c>
      <c r="F299" s="327">
        <v>0.1555</v>
      </c>
      <c r="G299" s="319">
        <f t="shared" si="10"/>
        <v>6274.4624999999996</v>
      </c>
    </row>
    <row r="300" spans="3:7" x14ac:dyDescent="0.25">
      <c r="C300" s="324" t="s">
        <v>387</v>
      </c>
      <c r="D300" s="327">
        <v>4.3499999999999997E-2</v>
      </c>
      <c r="E300" s="319">
        <f t="shared" si="9"/>
        <v>5706.7749999999996</v>
      </c>
      <c r="F300" s="327">
        <v>4.3499999999999997E-2</v>
      </c>
      <c r="G300" s="319">
        <f t="shared" si="10"/>
        <v>5862.8625000000002</v>
      </c>
    </row>
    <row r="301" spans="3:7" x14ac:dyDescent="0.25">
      <c r="C301" s="326" t="s">
        <v>388</v>
      </c>
      <c r="D301" s="327">
        <v>4.4900000000000002E-2</v>
      </c>
      <c r="E301" s="319">
        <f t="shared" si="9"/>
        <v>5711.8850000000002</v>
      </c>
      <c r="F301" s="327">
        <v>4.4900000000000002E-2</v>
      </c>
      <c r="G301" s="319">
        <f t="shared" si="10"/>
        <v>5868.0074999999997</v>
      </c>
    </row>
    <row r="302" spans="3:7" x14ac:dyDescent="0.25">
      <c r="C302" s="324" t="s">
        <v>389</v>
      </c>
      <c r="D302" s="327">
        <v>0.2175</v>
      </c>
      <c r="E302" s="319">
        <f t="shared" si="9"/>
        <v>6341.875</v>
      </c>
      <c r="F302" s="327">
        <v>0.1925</v>
      </c>
      <c r="G302" s="319">
        <f t="shared" si="10"/>
        <v>6410.4375</v>
      </c>
    </row>
    <row r="303" spans="3:7" x14ac:dyDescent="0.25">
      <c r="C303" s="324" t="s">
        <v>390</v>
      </c>
      <c r="D303" s="327">
        <v>0.23089999999999999</v>
      </c>
      <c r="E303" s="319">
        <f t="shared" si="9"/>
        <v>6390.7849999999999</v>
      </c>
      <c r="F303" s="327">
        <v>0.2059</v>
      </c>
      <c r="G303" s="319">
        <f t="shared" si="10"/>
        <v>6459.6824999999999</v>
      </c>
    </row>
    <row r="304" spans="3:7" x14ac:dyDescent="0.25">
      <c r="C304" s="326" t="s">
        <v>391</v>
      </c>
      <c r="D304" s="327">
        <v>0.12920000000000001</v>
      </c>
      <c r="E304" s="319">
        <f t="shared" si="9"/>
        <v>6019.58</v>
      </c>
      <c r="F304" s="327">
        <v>0.12920000000000001</v>
      </c>
      <c r="G304" s="319">
        <f t="shared" si="10"/>
        <v>6177.81</v>
      </c>
    </row>
    <row r="305" spans="3:7" x14ac:dyDescent="0.25">
      <c r="C305" s="324" t="s">
        <v>392</v>
      </c>
      <c r="D305" s="327">
        <v>8.0699999999999994E-2</v>
      </c>
      <c r="E305" s="319">
        <f t="shared" si="9"/>
        <v>5842.5550000000003</v>
      </c>
      <c r="F305" s="327">
        <v>8.0699999999999994E-2</v>
      </c>
      <c r="G305" s="319">
        <f t="shared" si="10"/>
        <v>5999.5725000000002</v>
      </c>
    </row>
    <row r="306" spans="3:7" x14ac:dyDescent="0.25">
      <c r="C306" s="324" t="s">
        <v>400</v>
      </c>
      <c r="D306" s="327">
        <v>0.1426</v>
      </c>
      <c r="E306" s="319">
        <f t="shared" si="9"/>
        <v>6068.49</v>
      </c>
      <c r="F306" s="327">
        <v>0.1426</v>
      </c>
      <c r="G306" s="319">
        <f t="shared" si="10"/>
        <v>6227.0550000000003</v>
      </c>
    </row>
    <row r="307" spans="3:7" x14ac:dyDescent="0.25">
      <c r="C307" s="324" t="s">
        <v>393</v>
      </c>
      <c r="D307" s="327">
        <v>1.1900000000000001E-2</v>
      </c>
      <c r="E307" s="319">
        <f t="shared" si="9"/>
        <v>5591.4350000000004</v>
      </c>
      <c r="F307" s="327">
        <v>1.1900000000000001E-2</v>
      </c>
      <c r="G307" s="319">
        <f t="shared" si="10"/>
        <v>5746.7325000000001</v>
      </c>
    </row>
  </sheetData>
  <sheetProtection algorithmName="SHA-512" hashValue="LIcg9ILll+Pa5WfPA6f/IF2vFg+ZsR154mTLIw1IZNtre57uMQVJdxWtYXm7yc/uR4mtsD5dhOuAvbjIH0tE8A==" saltValue="rlcYyDrCaBtuClBlbky9Nw==" spinCount="100000" sheet="1" selectLockedCells="1" selectUnlockedCells="1"/>
  <mergeCells count="4">
    <mergeCell ref="C15:D15"/>
    <mergeCell ref="H15:J15"/>
    <mergeCell ref="B11:J12"/>
    <mergeCell ref="B13:J13"/>
  </mergeCells>
  <conditionalFormatting sqref="C18:F18 D19:F19">
    <cfRule type="expression" dxfId="53" priority="37">
      <formula>$T18="Closed"</formula>
    </cfRule>
  </conditionalFormatting>
  <conditionalFormatting sqref="C18">
    <cfRule type="expression" dxfId="52" priority="36">
      <formula>$T18="Closed"</formula>
    </cfRule>
  </conditionalFormatting>
  <conditionalFormatting sqref="C18:F18 D19:F19">
    <cfRule type="expression" dxfId="51" priority="35">
      <formula>$T18="Transferred"</formula>
    </cfRule>
  </conditionalFormatting>
  <conditionalFormatting sqref="C18">
    <cfRule type="expression" dxfId="50" priority="34">
      <formula>$T18="Closed"</formula>
    </cfRule>
  </conditionalFormatting>
  <conditionalFormatting sqref="D18:F18">
    <cfRule type="expression" dxfId="49" priority="33">
      <formula>$T18="Closed"</formula>
    </cfRule>
  </conditionalFormatting>
  <conditionalFormatting sqref="D45:F46 D30:F43">
    <cfRule type="expression" dxfId="48" priority="32">
      <formula>S25="Closed"</formula>
    </cfRule>
  </conditionalFormatting>
  <conditionalFormatting sqref="D45:F46 D26:F43">
    <cfRule type="expression" dxfId="47" priority="31">
      <formula>$T21="Closed"</formula>
    </cfRule>
  </conditionalFormatting>
  <conditionalFormatting sqref="D45:F46 D26:F43">
    <cfRule type="expression" dxfId="46" priority="30">
      <formula>$T21="Transferred"</formula>
    </cfRule>
  </conditionalFormatting>
  <conditionalFormatting sqref="D27:F27">
    <cfRule type="expression" dxfId="45" priority="29">
      <formula>$T22="Closed"</formula>
    </cfRule>
  </conditionalFormatting>
  <conditionalFormatting sqref="D47:F47">
    <cfRule type="expression" dxfId="44" priority="22">
      <formula>S42="Closed"</formula>
    </cfRule>
  </conditionalFormatting>
  <conditionalFormatting sqref="D47:F47">
    <cfRule type="expression" dxfId="43" priority="21">
      <formula>$T42="Closed"</formula>
    </cfRule>
  </conditionalFormatting>
  <conditionalFormatting sqref="D47:F47">
    <cfRule type="expression" dxfId="42" priority="20">
      <formula>$T42="Transferred"</formula>
    </cfRule>
  </conditionalFormatting>
  <conditionalFormatting sqref="D47:F47">
    <cfRule type="expression" dxfId="41" priority="19">
      <formula>S42="Closed"</formula>
    </cfRule>
  </conditionalFormatting>
  <conditionalFormatting sqref="D47:F47">
    <cfRule type="expression" dxfId="40" priority="18">
      <formula>$T42="Closed"</formula>
    </cfRule>
  </conditionalFormatting>
  <conditionalFormatting sqref="D47:F47">
    <cfRule type="expression" dxfId="39" priority="17">
      <formula>$T42="Transferred"</formula>
    </cfRule>
  </conditionalFormatting>
  <conditionalFormatting sqref="D47:F47">
    <cfRule type="expression" dxfId="38" priority="16">
      <formula>$T42="Closed"</formula>
    </cfRule>
  </conditionalFormatting>
  <conditionalFormatting sqref="D44:F44">
    <cfRule type="expression" dxfId="37" priority="39">
      <formula>S38="Closed"</formula>
    </cfRule>
  </conditionalFormatting>
  <conditionalFormatting sqref="D44:F44">
    <cfRule type="expression" dxfId="36" priority="40">
      <formula>$T38="Closed"</formula>
    </cfRule>
  </conditionalFormatting>
  <conditionalFormatting sqref="D44:F44">
    <cfRule type="expression" dxfId="35" priority="41">
      <formula>$T38="Transferred"</formula>
    </cfRule>
  </conditionalFormatting>
  <conditionalFormatting sqref="D21:F22">
    <cfRule type="expression" dxfId="34" priority="46">
      <formula>$T20="Closed"</formula>
    </cfRule>
  </conditionalFormatting>
  <conditionalFormatting sqref="D21:F22">
    <cfRule type="expression" dxfId="33" priority="47">
      <formula>$T20="Transferred"</formula>
    </cfRule>
  </conditionalFormatting>
  <conditionalFormatting sqref="D25:F25">
    <cfRule type="expression" dxfId="32" priority="49">
      <formula>$T21="Closed"</formula>
    </cfRule>
  </conditionalFormatting>
  <conditionalFormatting sqref="D25:F25">
    <cfRule type="expression" dxfId="31" priority="50">
      <formula>$T21="Transferred"</formula>
    </cfRule>
  </conditionalFormatting>
  <conditionalFormatting sqref="D24:F24">
    <cfRule type="expression" dxfId="30" priority="52">
      <formula>$T21="Closed"</formula>
    </cfRule>
  </conditionalFormatting>
  <conditionalFormatting sqref="D24:F24">
    <cfRule type="expression" dxfId="29" priority="53">
      <formula>$T21="Transferred"</formula>
    </cfRule>
  </conditionalFormatting>
  <conditionalFormatting sqref="D23:F23">
    <cfRule type="expression" dxfId="28" priority="55">
      <formula>$T21="Closed"</formula>
    </cfRule>
  </conditionalFormatting>
  <conditionalFormatting sqref="D23:F23">
    <cfRule type="expression" dxfId="27" priority="56">
      <formula>$T21="Transferred"</formula>
    </cfRule>
  </conditionalFormatting>
  <conditionalFormatting sqref="C18:F18 D19:F19 G20:G27">
    <cfRule type="expression" dxfId="26" priority="57">
      <formula>K3="Closed"</formula>
    </cfRule>
  </conditionalFormatting>
  <conditionalFormatting sqref="D26:F29">
    <cfRule type="expression" dxfId="25" priority="60">
      <formula>L6="Closed"</formula>
    </cfRule>
  </conditionalFormatting>
  <conditionalFormatting sqref="D21:F22">
    <cfRule type="expression" dxfId="24" priority="61">
      <formula>L5="Closed"</formula>
    </cfRule>
  </conditionalFormatting>
  <conditionalFormatting sqref="D25:F25">
    <cfRule type="expression" dxfId="23" priority="62">
      <formula>L6="Closed"</formula>
    </cfRule>
  </conditionalFormatting>
  <conditionalFormatting sqref="D24:F24">
    <cfRule type="expression" dxfId="22" priority="63">
      <formula>L6="Closed"</formula>
    </cfRule>
  </conditionalFormatting>
  <conditionalFormatting sqref="D23:F23">
    <cfRule type="expression" dxfId="21" priority="64">
      <formula>L6="Closed"</formula>
    </cfRule>
  </conditionalFormatting>
  <conditionalFormatting sqref="G19">
    <cfRule type="expression" dxfId="20" priority="5">
      <formula>$T19="Closed"</formula>
    </cfRule>
  </conditionalFormatting>
  <conditionalFormatting sqref="G19">
    <cfRule type="expression" dxfId="19" priority="4">
      <formula>$T19="Transferred"</formula>
    </cfRule>
  </conditionalFormatting>
  <conditionalFormatting sqref="F20">
    <cfRule type="expression" dxfId="18" priority="8">
      <formula>$T20="Closed"</formula>
    </cfRule>
  </conditionalFormatting>
  <conditionalFormatting sqref="F20">
    <cfRule type="expression" dxfId="17" priority="7">
      <formula>$T20="Transferred"</formula>
    </cfRule>
  </conditionalFormatting>
  <conditionalFormatting sqref="F20">
    <cfRule type="expression" dxfId="16" priority="9">
      <formula>N5="Closed"</formula>
    </cfRule>
  </conditionalFormatting>
  <conditionalFormatting sqref="G19">
    <cfRule type="expression" dxfId="15" priority="6">
      <formula>O4="Closed"</formula>
    </cfRule>
  </conditionalFormatting>
  <conditionalFormatting sqref="G20:G307">
    <cfRule type="expression" dxfId="14" priority="2">
      <formula>$T20="Closed"</formula>
    </cfRule>
  </conditionalFormatting>
  <conditionalFormatting sqref="G20:G307">
    <cfRule type="expression" dxfId="13" priority="1">
      <formula>$T20="Transferred"</formula>
    </cfRule>
  </conditionalFormatting>
  <conditionalFormatting sqref="G28:G307">
    <cfRule type="expression" dxfId="12" priority="3">
      <formula>O15="Closed"</formula>
    </cfRule>
  </conditionalFormatting>
  <pageMargins left="0.7" right="0.7" top="0.75" bottom="0.75" header="0.3" footer="0.3"/>
  <pageSetup orientation="portrait" r:id="rId1"/>
  <ignoredErrors>
    <ignoredError sqref="F19" calculatedColumn="1"/>
  </ignoredErrors>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0FA2F81B-073E-49B5-8CD8-9CEA1A487A4E}">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Instructions</vt:lpstr>
      <vt:lpstr>2. Enrollment Projections</vt:lpstr>
      <vt:lpstr>3. Staffing Plan</vt:lpstr>
      <vt:lpstr>4. 5-Year Budget</vt:lpstr>
      <vt:lpstr>CorpList</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JBetley@icsb.in.gov</dc:creator>
  <cp:lastModifiedBy>Abston, Bridgett</cp:lastModifiedBy>
  <cp:lastPrinted>2020-10-15T20:39:52Z</cp:lastPrinted>
  <dcterms:created xsi:type="dcterms:W3CDTF">2009-06-30T21:24:16Z</dcterms:created>
  <dcterms:modified xsi:type="dcterms:W3CDTF">2020-11-02T21:26:37Z</dcterms:modified>
</cp:coreProperties>
</file>